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R Dashboard" sheetId="1" state="visible" r:id="rId3"/>
    <sheet name="Employees" sheetId="2" state="visible" r:id="rId4"/>
  </sheets>
  <definedNames>
    <definedName function="false" hidden="false" localSheetId="1" name="_xlnm.Print_Titles" vbProcedure="false">Employees!$1:$1</definedName>
    <definedName function="false" hidden="true" localSheetId="1" name="_xlnm._FilterDatabase" vbProcedure="false">Employees!$A$1:$I$413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<sst xmlns="http://schemas.openxmlformats.org/spreadsheetml/2006/main" count="2098" uniqueCount="476">
  <si>
    <t xml:space="preserve">HR ANALYTICS DASHBOARD — 2026</t>
  </si>
  <si>
    <t xml:space="preserve">  Live workforce insights · refreshable formulas · powered by Employees data</t>
  </si>
  <si>
    <t xml:space="preserve">HEADCOUNT</t>
  </si>
  <si>
    <t xml:space="preserve">ANNUAL TURNOVER</t>
  </si>
  <si>
    <t xml:space="preserve">AVG TENURE (YRS)</t>
  </si>
  <si>
    <t xml:space="preserve">ENGAGEMENT (1-5)</t>
  </si>
  <si>
    <t xml:space="preserve">HEADCOUNT BY DEPARTMENT</t>
  </si>
  <si>
    <t xml:space="preserve">HIRING FUNNEL — LAST QUARTER</t>
  </si>
  <si>
    <t xml:space="preserve">Department</t>
  </si>
  <si>
    <t xml:space="preserve">Active</t>
  </si>
  <si>
    <t xml:space="preserve">Left (12mo)</t>
  </si>
  <si>
    <t xml:space="preserve">Turnover %</t>
  </si>
  <si>
    <t xml:space="preserve">Avg Tenure</t>
  </si>
  <si>
    <t xml:space="preserve">Stage</t>
  </si>
  <si>
    <t xml:space="preserve">Count</t>
  </si>
  <si>
    <t xml:space="preserve">Conv. %</t>
  </si>
  <si>
    <t xml:space="preserve">Engineering</t>
  </si>
  <si>
    <t xml:space="preserve">Applied</t>
  </si>
  <si>
    <t xml:space="preserve">Sales</t>
  </si>
  <si>
    <t xml:space="preserve">Screened</t>
  </si>
  <si>
    <t xml:space="preserve">Operations</t>
  </si>
  <si>
    <t xml:space="preserve">Interviewed</t>
  </si>
  <si>
    <t xml:space="preserve">Marketing</t>
  </si>
  <si>
    <t xml:space="preserve">Offered</t>
  </si>
  <si>
    <t xml:space="preserve">Finance</t>
  </si>
  <si>
    <t xml:space="preserve">Hired</t>
  </si>
  <si>
    <t xml:space="preserve">HR</t>
  </si>
  <si>
    <t xml:space="preserve">Customer Success</t>
  </si>
  <si>
    <t xml:space="preserve">VISUAL ANALYTICS</t>
  </si>
  <si>
    <t xml:space="preserve">Employee ID</t>
  </si>
  <si>
    <t xml:space="preserve">Role</t>
  </si>
  <si>
    <t xml:space="preserve">Hire Date</t>
  </si>
  <si>
    <t xml:space="preserve">Country</t>
  </si>
  <si>
    <t xml:space="preserve">Tenure (yrs)</t>
  </si>
  <si>
    <t xml:space="preserve">Engagement</t>
  </si>
  <si>
    <t xml:space="preserve">Status</t>
  </si>
  <si>
    <t xml:space="preserve">Salary</t>
  </si>
  <si>
    <t xml:space="preserve">E1001</t>
  </si>
  <si>
    <t xml:space="preserve">Manager</t>
  </si>
  <si>
    <t xml:space="preserve">CA</t>
  </si>
  <si>
    <t xml:space="preserve">E1002</t>
  </si>
  <si>
    <t xml:space="preserve">Generalist</t>
  </si>
  <si>
    <t xml:space="preserve">Left</t>
  </si>
  <si>
    <t xml:space="preserve">E1003</t>
  </si>
  <si>
    <t xml:space="preserve">SDR</t>
  </si>
  <si>
    <t xml:space="preserve">DE</t>
  </si>
  <si>
    <t xml:space="preserve">E1004</t>
  </si>
  <si>
    <t xml:space="preserve">Analyst</t>
  </si>
  <si>
    <t xml:space="preserve">IN</t>
  </si>
  <si>
    <t xml:space="preserve">E1005</t>
  </si>
  <si>
    <t xml:space="preserve">Marketer</t>
  </si>
  <si>
    <t xml:space="preserve">E1006</t>
  </si>
  <si>
    <t xml:space="preserve">UK</t>
  </si>
  <si>
    <t xml:space="preserve">E1007</t>
  </si>
  <si>
    <t xml:space="preserve">Senior CSM</t>
  </si>
  <si>
    <t xml:space="preserve">E1008</t>
  </si>
  <si>
    <t xml:space="preserve">CMO</t>
  </si>
  <si>
    <t xml:space="preserve">US</t>
  </si>
  <si>
    <t xml:space="preserve">E1009</t>
  </si>
  <si>
    <t xml:space="preserve">Accountant</t>
  </si>
  <si>
    <t xml:space="preserve">PK</t>
  </si>
  <si>
    <t xml:space="preserve">E1010</t>
  </si>
  <si>
    <t xml:space="preserve">E1011</t>
  </si>
  <si>
    <t xml:space="preserve">AU</t>
  </si>
  <si>
    <t xml:space="preserve">E1012</t>
  </si>
  <si>
    <t xml:space="preserve">E1013</t>
  </si>
  <si>
    <t xml:space="preserve">AE</t>
  </si>
  <si>
    <t xml:space="preserve">E1014</t>
  </si>
  <si>
    <t xml:space="preserve">E1015</t>
  </si>
  <si>
    <t xml:space="preserve">E1016</t>
  </si>
  <si>
    <t xml:space="preserve">E1017</t>
  </si>
  <si>
    <t xml:space="preserve">E1018</t>
  </si>
  <si>
    <t xml:space="preserve">CS Manager</t>
  </si>
  <si>
    <t xml:space="preserve">E1019</t>
  </si>
  <si>
    <t xml:space="preserve">E1020</t>
  </si>
  <si>
    <t xml:space="preserve">E1021</t>
  </si>
  <si>
    <t xml:space="preserve">E1022</t>
  </si>
  <si>
    <t xml:space="preserve">E1023</t>
  </si>
  <si>
    <t xml:space="preserve">Director</t>
  </si>
  <si>
    <t xml:space="preserve">E1024</t>
  </si>
  <si>
    <t xml:space="preserve">E1025</t>
  </si>
  <si>
    <t xml:space="preserve">HRBP</t>
  </si>
  <si>
    <t xml:space="preserve">E1026</t>
  </si>
  <si>
    <t xml:space="preserve">E1027</t>
  </si>
  <si>
    <t xml:space="preserve">Sales Manager</t>
  </si>
  <si>
    <t xml:space="preserve">E1028</t>
  </si>
  <si>
    <t xml:space="preserve">E1029</t>
  </si>
  <si>
    <t xml:space="preserve">E1030</t>
  </si>
  <si>
    <t xml:space="preserve">E1031</t>
  </si>
  <si>
    <t xml:space="preserve">E1032</t>
  </si>
  <si>
    <t xml:space="preserve">Controller</t>
  </si>
  <si>
    <t xml:space="preserve">E1033</t>
  </si>
  <si>
    <t xml:space="preserve">E1034</t>
  </si>
  <si>
    <t xml:space="preserve">E1035</t>
  </si>
  <si>
    <t xml:space="preserve">E1036</t>
  </si>
  <si>
    <t xml:space="preserve">E1037</t>
  </si>
  <si>
    <t xml:space="preserve">CSM</t>
  </si>
  <si>
    <t xml:space="preserve">E1038</t>
  </si>
  <si>
    <t xml:space="preserve">E1039</t>
  </si>
  <si>
    <t xml:space="preserve">E1040</t>
  </si>
  <si>
    <t xml:space="preserve">Tech Lead</t>
  </si>
  <si>
    <t xml:space="preserve">E1041</t>
  </si>
  <si>
    <t xml:space="preserve">E1042</t>
  </si>
  <si>
    <t xml:space="preserve">E1043</t>
  </si>
  <si>
    <t xml:space="preserve">E1044</t>
  </si>
  <si>
    <t xml:space="preserve">E1045</t>
  </si>
  <si>
    <t xml:space="preserve">E1046</t>
  </si>
  <si>
    <t xml:space="preserve">E1047</t>
  </si>
  <si>
    <t xml:space="preserve">E1048</t>
  </si>
  <si>
    <t xml:space="preserve">E1049</t>
  </si>
  <si>
    <t xml:space="preserve">Recruiter</t>
  </si>
  <si>
    <t xml:space="preserve">E1050</t>
  </si>
  <si>
    <t xml:space="preserve">E1051</t>
  </si>
  <si>
    <t xml:space="preserve">E1052</t>
  </si>
  <si>
    <t xml:space="preserve">E1053</t>
  </si>
  <si>
    <t xml:space="preserve">E1054</t>
  </si>
  <si>
    <t xml:space="preserve">E1055</t>
  </si>
  <si>
    <t xml:space="preserve">E1056</t>
  </si>
  <si>
    <t xml:space="preserve">E1057</t>
  </si>
  <si>
    <t xml:space="preserve">E1058</t>
  </si>
  <si>
    <t xml:space="preserve">E1059</t>
  </si>
  <si>
    <t xml:space="preserve">E1060</t>
  </si>
  <si>
    <t xml:space="preserve">E1061</t>
  </si>
  <si>
    <t xml:space="preserve">E1062</t>
  </si>
  <si>
    <t xml:space="preserve">E1063</t>
  </si>
  <si>
    <t xml:space="preserve">E1064</t>
  </si>
  <si>
    <t xml:space="preserve">E1065</t>
  </si>
  <si>
    <t xml:space="preserve">E1066</t>
  </si>
  <si>
    <t xml:space="preserve">E1067</t>
  </si>
  <si>
    <t xml:space="preserve">E1068</t>
  </si>
  <si>
    <t xml:space="preserve">E1069</t>
  </si>
  <si>
    <t xml:space="preserve">E1070</t>
  </si>
  <si>
    <t xml:space="preserve">E1071</t>
  </si>
  <si>
    <t xml:space="preserve">E1072</t>
  </si>
  <si>
    <t xml:space="preserve">E1073</t>
  </si>
  <si>
    <t xml:space="preserve">E1074</t>
  </si>
  <si>
    <t xml:space="preserve">E1075</t>
  </si>
  <si>
    <t xml:space="preserve">E1076</t>
  </si>
  <si>
    <t xml:space="preserve">E1077</t>
  </si>
  <si>
    <t xml:space="preserve">E1078</t>
  </si>
  <si>
    <t xml:space="preserve">E1079</t>
  </si>
  <si>
    <t xml:space="preserve">E1080</t>
  </si>
  <si>
    <t xml:space="preserve">E1081</t>
  </si>
  <si>
    <t xml:space="preserve">E1082</t>
  </si>
  <si>
    <t xml:space="preserve">E1083</t>
  </si>
  <si>
    <t xml:space="preserve">E1084</t>
  </si>
  <si>
    <t xml:space="preserve">E1085</t>
  </si>
  <si>
    <t xml:space="preserve">E1086</t>
  </si>
  <si>
    <t xml:space="preserve">E1087</t>
  </si>
  <si>
    <t xml:space="preserve">E1088</t>
  </si>
  <si>
    <t xml:space="preserve">E1089</t>
  </si>
  <si>
    <t xml:space="preserve">E1090</t>
  </si>
  <si>
    <t xml:space="preserve">E1091</t>
  </si>
  <si>
    <t xml:space="preserve">E1092</t>
  </si>
  <si>
    <t xml:space="preserve">E1093</t>
  </si>
  <si>
    <t xml:space="preserve">E1094</t>
  </si>
  <si>
    <t xml:space="preserve">E1095</t>
  </si>
  <si>
    <t xml:space="preserve">E1096</t>
  </si>
  <si>
    <t xml:space="preserve">Senior Engineer</t>
  </si>
  <si>
    <t xml:space="preserve">E1097</t>
  </si>
  <si>
    <t xml:space="preserve">E1098</t>
  </si>
  <si>
    <t xml:space="preserve">E1099</t>
  </si>
  <si>
    <t xml:space="preserve">E1100</t>
  </si>
  <si>
    <t xml:space="preserve">E1101</t>
  </si>
  <si>
    <t xml:space="preserve">E1102</t>
  </si>
  <si>
    <t xml:space="preserve">E1103</t>
  </si>
  <si>
    <t xml:space="preserve">E1104</t>
  </si>
  <si>
    <t xml:space="preserve">E1105</t>
  </si>
  <si>
    <t xml:space="preserve">E1106</t>
  </si>
  <si>
    <t xml:space="preserve">E1107</t>
  </si>
  <si>
    <t xml:space="preserve">E1108</t>
  </si>
  <si>
    <t xml:space="preserve">E1109</t>
  </si>
  <si>
    <t xml:space="preserve">E1110</t>
  </si>
  <si>
    <t xml:space="preserve">E1111</t>
  </si>
  <si>
    <t xml:space="preserve">E1112</t>
  </si>
  <si>
    <t xml:space="preserve">E1113</t>
  </si>
  <si>
    <t xml:space="preserve">E1114</t>
  </si>
  <si>
    <t xml:space="preserve">E1115</t>
  </si>
  <si>
    <t xml:space="preserve">E1116</t>
  </si>
  <si>
    <t xml:space="preserve">E1117</t>
  </si>
  <si>
    <t xml:space="preserve">E1118</t>
  </si>
  <si>
    <t xml:space="preserve">E1119</t>
  </si>
  <si>
    <t xml:space="preserve">E1120</t>
  </si>
  <si>
    <t xml:space="preserve">E1121</t>
  </si>
  <si>
    <t xml:space="preserve">E1122</t>
  </si>
  <si>
    <t xml:space="preserve">E1123</t>
  </si>
  <si>
    <t xml:space="preserve">E1124</t>
  </si>
  <si>
    <t xml:space="preserve">E1125</t>
  </si>
  <si>
    <t xml:space="preserve">E1126</t>
  </si>
  <si>
    <t xml:space="preserve">E1127</t>
  </si>
  <si>
    <t xml:space="preserve">E1128</t>
  </si>
  <si>
    <t xml:space="preserve">E1129</t>
  </si>
  <si>
    <t xml:space="preserve">E1130</t>
  </si>
  <si>
    <t xml:space="preserve">E1131</t>
  </si>
  <si>
    <t xml:space="preserve">E1132</t>
  </si>
  <si>
    <t xml:space="preserve">E1133</t>
  </si>
  <si>
    <t xml:space="preserve">E1134</t>
  </si>
  <si>
    <t xml:space="preserve">E1135</t>
  </si>
  <si>
    <t xml:space="preserve">E1136</t>
  </si>
  <si>
    <t xml:space="preserve">E1137</t>
  </si>
  <si>
    <t xml:space="preserve">E1138</t>
  </si>
  <si>
    <t xml:space="preserve">E1139</t>
  </si>
  <si>
    <t xml:space="preserve">E1140</t>
  </si>
  <si>
    <t xml:space="preserve">E1141</t>
  </si>
  <si>
    <t xml:space="preserve">Engineer</t>
  </si>
  <si>
    <t xml:space="preserve">E1142</t>
  </si>
  <si>
    <t xml:space="preserve">E1143</t>
  </si>
  <si>
    <t xml:space="preserve">E1144</t>
  </si>
  <si>
    <t xml:space="preserve">E1145</t>
  </si>
  <si>
    <t xml:space="preserve">E1146</t>
  </si>
  <si>
    <t xml:space="preserve">E1147</t>
  </si>
  <si>
    <t xml:space="preserve">E1148</t>
  </si>
  <si>
    <t xml:space="preserve">E1149</t>
  </si>
  <si>
    <t xml:space="preserve">E1150</t>
  </si>
  <si>
    <t xml:space="preserve">E1151</t>
  </si>
  <si>
    <t xml:space="preserve">E1152</t>
  </si>
  <si>
    <t xml:space="preserve">E1153</t>
  </si>
  <si>
    <t xml:space="preserve">E1154</t>
  </si>
  <si>
    <t xml:space="preserve">E1155</t>
  </si>
  <si>
    <t xml:space="preserve">E1156</t>
  </si>
  <si>
    <t xml:space="preserve">E1157</t>
  </si>
  <si>
    <t xml:space="preserve">E1158</t>
  </si>
  <si>
    <t xml:space="preserve">E1159</t>
  </si>
  <si>
    <t xml:space="preserve">E1160</t>
  </si>
  <si>
    <t xml:space="preserve">E1161</t>
  </si>
  <si>
    <t xml:space="preserve">E1162</t>
  </si>
  <si>
    <t xml:space="preserve">E1163</t>
  </si>
  <si>
    <t xml:space="preserve">E1164</t>
  </si>
  <si>
    <t xml:space="preserve">E1165</t>
  </si>
  <si>
    <t xml:space="preserve">E1166</t>
  </si>
  <si>
    <t xml:space="preserve">E1167</t>
  </si>
  <si>
    <t xml:space="preserve">E1168</t>
  </si>
  <si>
    <t xml:space="preserve">E1169</t>
  </si>
  <si>
    <t xml:space="preserve">E1170</t>
  </si>
  <si>
    <t xml:space="preserve">E1171</t>
  </si>
  <si>
    <t xml:space="preserve">E1172</t>
  </si>
  <si>
    <t xml:space="preserve">E1173</t>
  </si>
  <si>
    <t xml:space="preserve">E1174</t>
  </si>
  <si>
    <t xml:space="preserve">E1175</t>
  </si>
  <si>
    <t xml:space="preserve">E1176</t>
  </si>
  <si>
    <t xml:space="preserve">E1177</t>
  </si>
  <si>
    <t xml:space="preserve">E1178</t>
  </si>
  <si>
    <t xml:space="preserve">E1179</t>
  </si>
  <si>
    <t xml:space="preserve">E1180</t>
  </si>
  <si>
    <t xml:space="preserve">E1181</t>
  </si>
  <si>
    <t xml:space="preserve">E1182</t>
  </si>
  <si>
    <t xml:space="preserve">E1183</t>
  </si>
  <si>
    <t xml:space="preserve">E1184</t>
  </si>
  <si>
    <t xml:space="preserve">E1185</t>
  </si>
  <si>
    <t xml:space="preserve">E1186</t>
  </si>
  <si>
    <t xml:space="preserve">E1187</t>
  </si>
  <si>
    <t xml:space="preserve">E1188</t>
  </si>
  <si>
    <t xml:space="preserve">E1189</t>
  </si>
  <si>
    <t xml:space="preserve">E1190</t>
  </si>
  <si>
    <t xml:space="preserve">E1191</t>
  </si>
  <si>
    <t xml:space="preserve">E1192</t>
  </si>
  <si>
    <t xml:space="preserve">E1193</t>
  </si>
  <si>
    <t xml:space="preserve">E1194</t>
  </si>
  <si>
    <t xml:space="preserve">E1195</t>
  </si>
  <si>
    <t xml:space="preserve">E1196</t>
  </si>
  <si>
    <t xml:space="preserve">E1197</t>
  </si>
  <si>
    <t xml:space="preserve">E1198</t>
  </si>
  <si>
    <t xml:space="preserve">E1199</t>
  </si>
  <si>
    <t xml:space="preserve">E1200</t>
  </si>
  <si>
    <t xml:space="preserve">E1201</t>
  </si>
  <si>
    <t xml:space="preserve">E1202</t>
  </si>
  <si>
    <t xml:space="preserve">E1203</t>
  </si>
  <si>
    <t xml:space="preserve">E1204</t>
  </si>
  <si>
    <t xml:space="preserve">E1205</t>
  </si>
  <si>
    <t xml:space="preserve">E1206</t>
  </si>
  <si>
    <t xml:space="preserve">E1207</t>
  </si>
  <si>
    <t xml:space="preserve">E1208</t>
  </si>
  <si>
    <t xml:space="preserve">E1209</t>
  </si>
  <si>
    <t xml:space="preserve">E1210</t>
  </si>
  <si>
    <t xml:space="preserve">E1211</t>
  </si>
  <si>
    <t xml:space="preserve">E1212</t>
  </si>
  <si>
    <t xml:space="preserve">E1213</t>
  </si>
  <si>
    <t xml:space="preserve">E1214</t>
  </si>
  <si>
    <t xml:space="preserve">E1215</t>
  </si>
  <si>
    <t xml:space="preserve">E1216</t>
  </si>
  <si>
    <t xml:space="preserve">E1217</t>
  </si>
  <si>
    <t xml:space="preserve">E1218</t>
  </si>
  <si>
    <t xml:space="preserve">E1219</t>
  </si>
  <si>
    <t xml:space="preserve">E1220</t>
  </si>
  <si>
    <t xml:space="preserve">E1221</t>
  </si>
  <si>
    <t xml:space="preserve">E1222</t>
  </si>
  <si>
    <t xml:space="preserve">E1223</t>
  </si>
  <si>
    <t xml:space="preserve">E1224</t>
  </si>
  <si>
    <t xml:space="preserve">E1225</t>
  </si>
  <si>
    <t xml:space="preserve">E1226</t>
  </si>
  <si>
    <t xml:space="preserve">E1227</t>
  </si>
  <si>
    <t xml:space="preserve">E1228</t>
  </si>
  <si>
    <t xml:space="preserve">E1229</t>
  </si>
  <si>
    <t xml:space="preserve">E1230</t>
  </si>
  <si>
    <t xml:space="preserve">E1231</t>
  </si>
  <si>
    <t xml:space="preserve">E1232</t>
  </si>
  <si>
    <t xml:space="preserve">E1233</t>
  </si>
  <si>
    <t xml:space="preserve">E1234</t>
  </si>
  <si>
    <t xml:space="preserve">E1235</t>
  </si>
  <si>
    <t xml:space="preserve">E1236</t>
  </si>
  <si>
    <t xml:space="preserve">E1237</t>
  </si>
  <si>
    <t xml:space="preserve">E1238</t>
  </si>
  <si>
    <t xml:space="preserve">E1239</t>
  </si>
  <si>
    <t xml:space="preserve">E1240</t>
  </si>
  <si>
    <t xml:space="preserve">E1241</t>
  </si>
  <si>
    <t xml:space="preserve">E1242</t>
  </si>
  <si>
    <t xml:space="preserve">E1243</t>
  </si>
  <si>
    <t xml:space="preserve">E1244</t>
  </si>
  <si>
    <t xml:space="preserve">E1245</t>
  </si>
  <si>
    <t xml:space="preserve">E1246</t>
  </si>
  <si>
    <t xml:space="preserve">E1247</t>
  </si>
  <si>
    <t xml:space="preserve">E1248</t>
  </si>
  <si>
    <t xml:space="preserve">E1249</t>
  </si>
  <si>
    <t xml:space="preserve">E1250</t>
  </si>
  <si>
    <t xml:space="preserve">E1251</t>
  </si>
  <si>
    <t xml:space="preserve">E1252</t>
  </si>
  <si>
    <t xml:space="preserve">E1253</t>
  </si>
  <si>
    <t xml:space="preserve">E1254</t>
  </si>
  <si>
    <t xml:space="preserve">E1255</t>
  </si>
  <si>
    <t xml:space="preserve">E1256</t>
  </si>
  <si>
    <t xml:space="preserve">E1257</t>
  </si>
  <si>
    <t xml:space="preserve">E1258</t>
  </si>
  <si>
    <t xml:space="preserve">E1259</t>
  </si>
  <si>
    <t xml:space="preserve">E1260</t>
  </si>
  <si>
    <t xml:space="preserve">E1261</t>
  </si>
  <si>
    <t xml:space="preserve">E1262</t>
  </si>
  <si>
    <t xml:space="preserve">E1263</t>
  </si>
  <si>
    <t xml:space="preserve">E1264</t>
  </si>
  <si>
    <t xml:space="preserve">E1265</t>
  </si>
  <si>
    <t xml:space="preserve">E1266</t>
  </si>
  <si>
    <t xml:space="preserve">E1267</t>
  </si>
  <si>
    <t xml:space="preserve">E1268</t>
  </si>
  <si>
    <t xml:space="preserve">E1269</t>
  </si>
  <si>
    <t xml:space="preserve">E1270</t>
  </si>
  <si>
    <t xml:space="preserve">E1271</t>
  </si>
  <si>
    <t xml:space="preserve">E1272</t>
  </si>
  <si>
    <t xml:space="preserve">E1273</t>
  </si>
  <si>
    <t xml:space="preserve">E1274</t>
  </si>
  <si>
    <t xml:space="preserve">E1275</t>
  </si>
  <si>
    <t xml:space="preserve">E1276</t>
  </si>
  <si>
    <t xml:space="preserve">E1277</t>
  </si>
  <si>
    <t xml:space="preserve">E1278</t>
  </si>
  <si>
    <t xml:space="preserve">E1279</t>
  </si>
  <si>
    <t xml:space="preserve">E1280</t>
  </si>
  <si>
    <t xml:space="preserve">E1281</t>
  </si>
  <si>
    <t xml:space="preserve">E1282</t>
  </si>
  <si>
    <t xml:space="preserve">E1283</t>
  </si>
  <si>
    <t xml:space="preserve">E1284</t>
  </si>
  <si>
    <t xml:space="preserve">E1285</t>
  </si>
  <si>
    <t xml:space="preserve">E1286</t>
  </si>
  <si>
    <t xml:space="preserve">E1287</t>
  </si>
  <si>
    <t xml:space="preserve">E1288</t>
  </si>
  <si>
    <t xml:space="preserve">E1289</t>
  </si>
  <si>
    <t xml:space="preserve">E1290</t>
  </si>
  <si>
    <t xml:space="preserve">E1291</t>
  </si>
  <si>
    <t xml:space="preserve">E1292</t>
  </si>
  <si>
    <t xml:space="preserve">E1293</t>
  </si>
  <si>
    <t xml:space="preserve">E1294</t>
  </si>
  <si>
    <t xml:space="preserve">E1295</t>
  </si>
  <si>
    <t xml:space="preserve">E1296</t>
  </si>
  <si>
    <t xml:space="preserve">E1297</t>
  </si>
  <si>
    <t xml:space="preserve">E1298</t>
  </si>
  <si>
    <t xml:space="preserve">E1299</t>
  </si>
  <si>
    <t xml:space="preserve">E1300</t>
  </si>
  <si>
    <t xml:space="preserve">E1301</t>
  </si>
  <si>
    <t xml:space="preserve">E1302</t>
  </si>
  <si>
    <t xml:space="preserve">E1303</t>
  </si>
  <si>
    <t xml:space="preserve">E1304</t>
  </si>
  <si>
    <t xml:space="preserve">E1305</t>
  </si>
  <si>
    <t xml:space="preserve">E1306</t>
  </si>
  <si>
    <t xml:space="preserve">E1307</t>
  </si>
  <si>
    <t xml:space="preserve">E1308</t>
  </si>
  <si>
    <t xml:space="preserve">E1309</t>
  </si>
  <si>
    <t xml:space="preserve">E1310</t>
  </si>
  <si>
    <t xml:space="preserve">E1311</t>
  </si>
  <si>
    <t xml:space="preserve">E1312</t>
  </si>
  <si>
    <t xml:space="preserve">E1313</t>
  </si>
  <si>
    <t xml:space="preserve">E1314</t>
  </si>
  <si>
    <t xml:space="preserve">E1315</t>
  </si>
  <si>
    <t xml:space="preserve">E1316</t>
  </si>
  <si>
    <t xml:space="preserve">E1317</t>
  </si>
  <si>
    <t xml:space="preserve">E1318</t>
  </si>
  <si>
    <t xml:space="preserve">E1319</t>
  </si>
  <si>
    <t xml:space="preserve">E1320</t>
  </si>
  <si>
    <t xml:space="preserve">E1321</t>
  </si>
  <si>
    <t xml:space="preserve">E1322</t>
  </si>
  <si>
    <t xml:space="preserve">E1323</t>
  </si>
  <si>
    <t xml:space="preserve">E1324</t>
  </si>
  <si>
    <t xml:space="preserve">E1325</t>
  </si>
  <si>
    <t xml:space="preserve">E1326</t>
  </si>
  <si>
    <t xml:space="preserve">E1327</t>
  </si>
  <si>
    <t xml:space="preserve">E1328</t>
  </si>
  <si>
    <t xml:space="preserve">E1329</t>
  </si>
  <si>
    <t xml:space="preserve">E1330</t>
  </si>
  <si>
    <t xml:space="preserve">E1331</t>
  </si>
  <si>
    <t xml:space="preserve">E1332</t>
  </si>
  <si>
    <t xml:space="preserve">E1333</t>
  </si>
  <si>
    <t xml:space="preserve">E1334</t>
  </si>
  <si>
    <t xml:space="preserve">E1335</t>
  </si>
  <si>
    <t xml:space="preserve">E1336</t>
  </si>
  <si>
    <t xml:space="preserve">E1337</t>
  </si>
  <si>
    <t xml:space="preserve">E1338</t>
  </si>
  <si>
    <t xml:space="preserve">E1339</t>
  </si>
  <si>
    <t xml:space="preserve">E1340</t>
  </si>
  <si>
    <t xml:space="preserve">E1341</t>
  </si>
  <si>
    <t xml:space="preserve">E1342</t>
  </si>
  <si>
    <t xml:space="preserve">E1343</t>
  </si>
  <si>
    <t xml:space="preserve">E1344</t>
  </si>
  <si>
    <t xml:space="preserve">E1345</t>
  </si>
  <si>
    <t xml:space="preserve">E1346</t>
  </si>
  <si>
    <t xml:space="preserve">E1347</t>
  </si>
  <si>
    <t xml:space="preserve">E1348</t>
  </si>
  <si>
    <t xml:space="preserve">E1349</t>
  </si>
  <si>
    <t xml:space="preserve">E1350</t>
  </si>
  <si>
    <t xml:space="preserve">E1351</t>
  </si>
  <si>
    <t xml:space="preserve">E1352</t>
  </si>
  <si>
    <t xml:space="preserve">E1353</t>
  </si>
  <si>
    <t xml:space="preserve">E1354</t>
  </si>
  <si>
    <t xml:space="preserve">E1355</t>
  </si>
  <si>
    <t xml:space="preserve">E1356</t>
  </si>
  <si>
    <t xml:space="preserve">E1357</t>
  </si>
  <si>
    <t xml:space="preserve">E1358</t>
  </si>
  <si>
    <t xml:space="preserve">E1359</t>
  </si>
  <si>
    <t xml:space="preserve">E1360</t>
  </si>
  <si>
    <t xml:space="preserve">E1361</t>
  </si>
  <si>
    <t xml:space="preserve">E1362</t>
  </si>
  <si>
    <t xml:space="preserve">E1363</t>
  </si>
  <si>
    <t xml:space="preserve">E1364</t>
  </si>
  <si>
    <t xml:space="preserve">E1365</t>
  </si>
  <si>
    <t xml:space="preserve">E1366</t>
  </si>
  <si>
    <t xml:space="preserve">E1367</t>
  </si>
  <si>
    <t xml:space="preserve">E1368</t>
  </si>
  <si>
    <t xml:space="preserve">E1369</t>
  </si>
  <si>
    <t xml:space="preserve">E1370</t>
  </si>
  <si>
    <t xml:space="preserve">E1371</t>
  </si>
  <si>
    <t xml:space="preserve">E1372</t>
  </si>
  <si>
    <t xml:space="preserve">E1373</t>
  </si>
  <si>
    <t xml:space="preserve">E1374</t>
  </si>
  <si>
    <t xml:space="preserve">E1375</t>
  </si>
  <si>
    <t xml:space="preserve">E1376</t>
  </si>
  <si>
    <t xml:space="preserve">E1377</t>
  </si>
  <si>
    <t xml:space="preserve">E1378</t>
  </si>
  <si>
    <t xml:space="preserve">E1379</t>
  </si>
  <si>
    <t xml:space="preserve">E1380</t>
  </si>
  <si>
    <t xml:space="preserve">E1381</t>
  </si>
  <si>
    <t xml:space="preserve">E1382</t>
  </si>
  <si>
    <t xml:space="preserve">E1383</t>
  </si>
  <si>
    <t xml:space="preserve">E1384</t>
  </si>
  <si>
    <t xml:space="preserve">E1385</t>
  </si>
  <si>
    <t xml:space="preserve">E1386</t>
  </si>
  <si>
    <t xml:space="preserve">E1387</t>
  </si>
  <si>
    <t xml:space="preserve">E1388</t>
  </si>
  <si>
    <t xml:space="preserve">E1389</t>
  </si>
  <si>
    <t xml:space="preserve">E1390</t>
  </si>
  <si>
    <t xml:space="preserve">E1391</t>
  </si>
  <si>
    <t xml:space="preserve">E1392</t>
  </si>
  <si>
    <t xml:space="preserve">E1393</t>
  </si>
  <si>
    <t xml:space="preserve">E1394</t>
  </si>
  <si>
    <t xml:space="preserve">E1395</t>
  </si>
  <si>
    <t xml:space="preserve">E1396</t>
  </si>
  <si>
    <t xml:space="preserve">E1397</t>
  </si>
  <si>
    <t xml:space="preserve">E1398</t>
  </si>
  <si>
    <t xml:space="preserve">E1399</t>
  </si>
  <si>
    <t xml:space="preserve">E1400</t>
  </si>
  <si>
    <t xml:space="preserve">E1401</t>
  </si>
  <si>
    <t xml:space="preserve">E1402</t>
  </si>
  <si>
    <t xml:space="preserve">E1403</t>
  </si>
  <si>
    <t xml:space="preserve">E1404</t>
  </si>
  <si>
    <t xml:space="preserve">E1405</t>
  </si>
  <si>
    <t xml:space="preserve">E1406</t>
  </si>
  <si>
    <t xml:space="preserve">E1407</t>
  </si>
  <si>
    <t xml:space="preserve">E1408</t>
  </si>
  <si>
    <t xml:space="preserve">E1409</t>
  </si>
  <si>
    <t xml:space="preserve">E1410</t>
  </si>
  <si>
    <t xml:space="preserve">E1411</t>
  </si>
  <si>
    <t xml:space="preserve">E1412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</si>
</sst>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0.0%"/>
    <numFmt numFmtId="167" formatCode="0.0"/>
    <numFmt numFmtId="168" formatCode="0.00"/>
    <numFmt numFmtId="169" formatCode="#,##0;\(#,##0\);\-"/>
    <numFmt numFmtId="170" formatCode="0.0%;\(0.0%\);\-"/>
    <numFmt numFmtId="171" formatCode="mmm\ d&quot;, &quot;yyyy"/>
    <numFmt numFmtId="172" formatCode="\$#,##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sz val="10"/>
      <name val="Calibri"/>
      <family val="0"/>
      <charset val="1"/>
    </font>
    <font>
      <i val="true"/>
      <sz val="10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26"/>
      <color rgb="FFFFFFFF"/>
      <name val="Calibri"/>
      <family val="0"/>
      <charset val="1"/>
    </font>
    <font>
      <b val="true"/>
      <sz val="12"/>
      <color rgb="FF1E40AF"/>
      <name val="Calibri"/>
      <family val="0"/>
      <charset val="1"/>
    </font>
    <font>
      <b val="true"/>
      <sz val="10"/>
      <color rgb="FF1F2937"/>
      <name val="Calibri"/>
      <family val="0"/>
      <charset val="1"/>
    </font>
    <font>
      <sz val="10"/>
      <color rgb="FF1F2937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1E40AF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E3A8A"/>
        <bgColor rgb="FF1E40AF"/>
      </patternFill>
    </fill>
    <fill>
      <patternFill patternType="solid">
        <fgColor rgb="FFF97316"/>
        <bgColor rgb="FFFB923C"/>
      </patternFill>
    </fill>
    <fill>
      <patternFill patternType="solid">
        <fgColor rgb="FF1E40AF"/>
        <bgColor rgb="FF1E3A8A"/>
      </patternFill>
    </fill>
    <fill>
      <patternFill patternType="solid">
        <fgColor rgb="FFEFF6FF"/>
        <bgColor rgb="FFF8FAFC"/>
      </patternFill>
    </fill>
    <fill>
      <patternFill patternType="solid">
        <fgColor rgb="FFF8FAFC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ck">
        <color rgb="FFF97316"/>
      </left>
      <right/>
      <top/>
      <bottom style="thin">
        <color rgb="FFF97316"/>
      </bottom>
      <diagonal/>
    </border>
    <border diagonalUp="false" diagonalDown="false">
      <left style="thin">
        <color rgb="FF1E3A8A"/>
      </left>
      <right style="thin">
        <color rgb="FF1E3A8A"/>
      </right>
      <top style="thin">
        <color rgb="FF1E3A8A"/>
      </top>
      <bottom style="thin">
        <color rgb="FF1E3A8A"/>
      </bottom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9" fontId="11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1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1" fillId="0" borderId="3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0" fillId="6" borderId="3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9" fontId="11" fillId="6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1" fillId="6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1" fillId="6" borderId="3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4" fillId="6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3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71" fontId="11" fillId="6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6" borderId="3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72" fontId="11" fillId="6" borderId="3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71" fontId="1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3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72" fontId="11" fillId="0" borderId="3" xfId="0" applyFont="true" applyBorder="true" applyAlignment="true" applyProtection="true">
      <alignment horizontal="righ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5">
    <dxf>
      <fill>
        <patternFill patternType="solid">
          <fgColor rgb="FF1E3A8A"/>
          <bgColor rgb="FF000000"/>
        </patternFill>
      </fill>
    </dxf>
    <dxf>
      <fill>
        <patternFill patternType="solid">
          <fgColor rgb="FFF8FAF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1E40A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F2937"/>
          <bgColor rgb="FF000000"/>
        </patternFill>
      </fill>
    </dxf>
    <dxf>
      <fill>
        <patternFill patternType="solid">
          <fgColor rgb="FFD1FAE5"/>
          <bgColor rgb="FF000000"/>
        </patternFill>
      </fill>
    </dxf>
    <dxf>
      <fill>
        <patternFill patternType="solid">
          <fgColor rgb="FFD2F9E4"/>
          <bgColor rgb="FF000000"/>
        </patternFill>
      </fill>
    </dxf>
    <dxf>
      <fill>
        <patternFill patternType="solid">
          <fgColor rgb="FFD3F9E3"/>
          <bgColor rgb="FF000000"/>
        </patternFill>
      </fill>
    </dxf>
    <dxf>
      <fill>
        <patternFill patternType="solid">
          <fgColor rgb="FFD3F9E4"/>
          <bgColor rgb="FF000000"/>
        </patternFill>
      </fill>
    </dxf>
    <dxf>
      <fill>
        <patternFill patternType="solid">
          <fgColor rgb="FFD4F9E3"/>
          <bgColor rgb="FF000000"/>
        </patternFill>
      </fill>
    </dxf>
    <dxf>
      <fill>
        <patternFill patternType="solid">
          <fgColor rgb="FFD5F9E2"/>
          <bgColor rgb="FF000000"/>
        </patternFill>
      </fill>
    </dxf>
    <dxf>
      <fill>
        <patternFill patternType="solid">
          <fgColor rgb="FFD6F9E2"/>
          <bgColor rgb="FF000000"/>
        </patternFill>
      </fill>
    </dxf>
    <dxf>
      <fill>
        <patternFill patternType="solid">
          <fgColor rgb="FFD7F9E1"/>
          <bgColor rgb="FF000000"/>
        </patternFill>
      </fill>
    </dxf>
    <dxf>
      <fill>
        <patternFill patternType="solid">
          <fgColor rgb="FFD8F8E0"/>
          <bgColor rgb="FF000000"/>
        </patternFill>
      </fill>
    </dxf>
    <dxf>
      <fill>
        <patternFill patternType="solid">
          <fgColor rgb="FFD8F9E0"/>
          <bgColor rgb="FF000000"/>
        </patternFill>
      </fill>
    </dxf>
    <dxf>
      <fill>
        <patternFill patternType="solid">
          <fgColor rgb="FFD9F8DF"/>
          <bgColor rgb="FF000000"/>
        </patternFill>
      </fill>
    </dxf>
    <dxf>
      <fill>
        <patternFill patternType="solid">
          <fgColor rgb="FFD9F8E0"/>
          <bgColor rgb="FF000000"/>
        </patternFill>
      </fill>
    </dxf>
    <dxf>
      <fill>
        <patternFill patternType="solid">
          <fgColor rgb="FFDAF8DF"/>
          <bgColor rgb="FF000000"/>
        </patternFill>
      </fill>
    </dxf>
    <dxf>
      <fill>
        <patternFill patternType="solid">
          <fgColor rgb="FFDBF8DE"/>
          <bgColor rgb="FF000000"/>
        </patternFill>
      </fill>
    </dxf>
    <dxf>
      <fill>
        <patternFill patternType="solid">
          <fgColor rgb="FFDCF8DD"/>
          <bgColor rgb="FF000000"/>
        </patternFill>
      </fill>
    </dxf>
    <dxf>
      <fill>
        <patternFill patternType="solid">
          <fgColor rgb="FFDCF8DE"/>
          <bgColor rgb="FF000000"/>
        </patternFill>
      </fill>
    </dxf>
    <dxf>
      <fill>
        <patternFill patternType="solid">
          <fgColor rgb="FFDDF8DD"/>
          <bgColor rgb="FF000000"/>
        </patternFill>
      </fill>
    </dxf>
    <dxf>
      <fill>
        <patternFill patternType="solid">
          <fgColor rgb="FFDEF8DC"/>
          <bgColor rgb="FF000000"/>
        </patternFill>
      </fill>
    </dxf>
    <dxf>
      <fill>
        <patternFill patternType="solid">
          <fgColor rgb="FFDFF7DB"/>
          <bgColor rgb="FF000000"/>
        </patternFill>
      </fill>
    </dxf>
    <dxf>
      <fill>
        <patternFill patternType="solid">
          <fgColor rgb="FFDFF7DC"/>
          <bgColor rgb="FF000000"/>
        </patternFill>
      </fill>
    </dxf>
    <dxf>
      <fill>
        <patternFill patternType="solid">
          <fgColor rgb="FFE0F7DB"/>
          <bgColor rgb="FF000000"/>
        </patternFill>
      </fill>
    </dxf>
    <dxf>
      <fill>
        <patternFill patternType="solid">
          <fgColor rgb="FFE1F7DA"/>
          <bgColor rgb="FF000000"/>
        </patternFill>
      </fill>
    </dxf>
    <dxf>
      <fill>
        <patternFill patternType="solid">
          <fgColor rgb="FFE2F7D9"/>
          <bgColor rgb="FF000000"/>
        </patternFill>
      </fill>
    </dxf>
    <dxf>
      <fill>
        <patternFill patternType="solid">
          <fgColor rgb="FFE2F7DA"/>
          <bgColor rgb="FF000000"/>
        </patternFill>
      </fill>
    </dxf>
    <dxf>
      <fill>
        <patternFill patternType="solid">
          <fgColor rgb="FFE3F7D9"/>
          <bgColor rgb="FF000000"/>
        </patternFill>
      </fill>
    </dxf>
    <dxf>
      <fill>
        <patternFill patternType="solid">
          <fgColor rgb="FFE4F7D8"/>
          <bgColor rgb="FF000000"/>
        </patternFill>
      </fill>
    </dxf>
    <dxf>
      <fill>
        <patternFill patternType="solid">
          <fgColor rgb="FFE5F7D8"/>
          <bgColor rgb="FF000000"/>
        </patternFill>
      </fill>
    </dxf>
    <dxf>
      <fill>
        <patternFill patternType="solid">
          <fgColor rgb="FFE6F6D7"/>
          <bgColor rgb="FF000000"/>
        </patternFill>
      </fill>
    </dxf>
    <dxf>
      <fill>
        <patternFill patternType="solid">
          <fgColor rgb="FFE7F6D6"/>
          <bgColor rgb="FF000000"/>
        </patternFill>
      </fill>
    </dxf>
    <dxf>
      <fill>
        <patternFill patternType="solid">
          <fgColor rgb="FFE8F6D5"/>
          <bgColor rgb="FF000000"/>
        </patternFill>
      </fill>
    </dxf>
    <dxf>
      <fill>
        <patternFill patternType="solid">
          <fgColor rgb="FFE8F6D6"/>
          <bgColor rgb="FF000000"/>
        </patternFill>
      </fill>
    </dxf>
    <dxf>
      <fill>
        <patternFill patternType="solid">
          <fgColor rgb="FFE9F6D5"/>
          <bgColor rgb="FF000000"/>
        </patternFill>
      </fill>
    </dxf>
    <dxf>
      <fill>
        <patternFill patternType="solid">
          <fgColor rgb="FFEAF6D4"/>
          <bgColor rgb="FF000000"/>
        </patternFill>
      </fill>
    </dxf>
    <dxf>
      <fill>
        <patternFill patternType="solid">
          <fgColor rgb="FFEBF5D3"/>
          <bgColor rgb="FF000000"/>
        </patternFill>
      </fill>
    </dxf>
    <dxf>
      <fill>
        <patternFill patternType="solid">
          <fgColor rgb="FFEBF6D4"/>
          <bgColor rgb="FF000000"/>
        </patternFill>
      </fill>
    </dxf>
    <dxf>
      <fill>
        <patternFill patternType="solid">
          <fgColor rgb="FFECF5D3"/>
          <bgColor rgb="FF000000"/>
        </patternFill>
      </fill>
    </dxf>
    <dxf>
      <fill>
        <patternFill patternType="solid">
          <fgColor rgb="FFEDF5D2"/>
          <bgColor rgb="FF000000"/>
        </patternFill>
      </fill>
    </dxf>
    <dxf>
      <fill>
        <patternFill patternType="solid">
          <fgColor rgb="FFEEF5D1"/>
          <bgColor rgb="FF000000"/>
        </patternFill>
      </fill>
    </dxf>
    <dxf>
      <fill>
        <patternFill patternType="solid">
          <fgColor rgb="FFEEF5D2"/>
          <bgColor rgb="FF000000"/>
        </patternFill>
      </fill>
    </dxf>
    <dxf>
      <fill>
        <patternFill patternType="solid">
          <fgColor rgb="FFEFF5D1"/>
          <bgColor rgb="FF000000"/>
        </patternFill>
      </fill>
    </dxf>
    <dxf>
      <fill>
        <patternFill patternType="solid">
          <fgColor rgb="FFF0F5D0"/>
          <bgColor rgb="FF000000"/>
        </patternFill>
      </fill>
    </dxf>
    <dxf>
      <fill>
        <patternFill patternType="solid">
          <fgColor rgb="FFF1F5CF"/>
          <bgColor rgb="FF000000"/>
        </patternFill>
      </fill>
    </dxf>
    <dxf>
      <fill>
        <patternFill patternType="solid">
          <fgColor rgb="FFF1F5D0"/>
          <bgColor rgb="FF000000"/>
        </patternFill>
      </fill>
    </dxf>
    <dxf>
      <fill>
        <patternFill patternType="solid">
          <fgColor rgb="FFF2F4CF"/>
          <bgColor rgb="FF000000"/>
        </patternFill>
      </fill>
    </dxf>
    <dxf>
      <fill>
        <patternFill patternType="solid">
          <fgColor rgb="FFF3F4CE"/>
          <bgColor rgb="FF000000"/>
        </patternFill>
      </fill>
    </dxf>
    <dxf>
      <fill>
        <patternFill patternType="solid">
          <fgColor rgb="FFF4F4CE"/>
          <bgColor rgb="FF000000"/>
        </patternFill>
      </fill>
    </dxf>
    <dxf>
      <fill>
        <patternFill patternType="solid">
          <fgColor rgb="FFF5F4CD"/>
          <bgColor rgb="FF000000"/>
        </patternFill>
      </fill>
    </dxf>
    <dxf>
      <fill>
        <patternFill patternType="solid">
          <fgColor rgb="FFF6F4CC"/>
          <bgColor rgb="FF000000"/>
        </patternFill>
      </fill>
    </dxf>
    <dxf>
      <fill>
        <patternFill patternType="solid">
          <fgColor rgb="FFF7F4CB"/>
          <bgColor rgb="FF000000"/>
        </patternFill>
      </fill>
    </dxf>
    <dxf>
      <fill>
        <patternFill patternType="solid">
          <fgColor rgb="FFF7F4CC"/>
          <bgColor rgb="FF000000"/>
        </patternFill>
      </fill>
    </dxf>
    <dxf>
      <fill>
        <patternFill patternType="solid">
          <fgColor rgb="FFF8F3CB"/>
          <bgColor rgb="FF000000"/>
        </patternFill>
      </fill>
    </dxf>
    <dxf>
      <fill>
        <patternFill patternType="solid">
          <fgColor rgb="FFF8F4CB"/>
          <bgColor rgb="FF000000"/>
        </patternFill>
      </fill>
    </dxf>
    <dxf>
      <fill>
        <patternFill patternType="solid">
          <fgColor rgb="FFF9F3CA"/>
          <bgColor rgb="FF000000"/>
        </patternFill>
      </fill>
    </dxf>
    <dxf>
      <fill>
        <patternFill patternType="solid">
          <fgColor rgb="FFFAF3C9"/>
          <bgColor rgb="FF000000"/>
        </patternFill>
      </fill>
    </dxf>
    <dxf>
      <fill>
        <patternFill patternType="solid">
          <fgColor rgb="FFFAF3CA"/>
          <bgColor rgb="FF000000"/>
        </patternFill>
      </fill>
    </dxf>
    <dxf>
      <fill>
        <patternFill patternType="solid">
          <fgColor rgb="FFFBF3C9"/>
          <bgColor rgb="FF000000"/>
        </patternFill>
      </fill>
    </dxf>
    <dxf>
      <fill>
        <patternFill patternType="solid">
          <fgColor rgb="FFFDF3C7"/>
          <bgColor rgb="FF000000"/>
        </patternFill>
      </fill>
    </dxf>
    <dxf>
      <fill>
        <patternFill patternType="solid">
          <fgColor rgb="FFFDF3C8"/>
          <bgColor rgb="FF000000"/>
        </patternFill>
      </fill>
    </dxf>
    <dxf>
      <fill>
        <patternFill patternType="solid">
          <fgColor rgb="FFFEE2E1"/>
          <bgColor rgb="FF000000"/>
        </patternFill>
      </fill>
    </dxf>
    <dxf>
      <fill>
        <patternFill patternType="solid">
          <fgColor rgb="FFFEE2E2"/>
          <bgColor rgb="FF000000"/>
        </patternFill>
      </fill>
    </dxf>
    <dxf>
      <fill>
        <patternFill patternType="solid">
          <fgColor rgb="FFFEE3E0"/>
          <bgColor rgb="FF000000"/>
        </patternFill>
      </fill>
    </dxf>
    <dxf>
      <fill>
        <patternFill patternType="solid">
          <fgColor rgb="FFFEE3E1"/>
          <bgColor rgb="FF000000"/>
        </patternFill>
      </fill>
    </dxf>
    <dxf>
      <fill>
        <patternFill patternType="solid">
          <fgColor rgb="FFFEE4DE"/>
          <bgColor rgb="FF000000"/>
        </patternFill>
      </fill>
    </dxf>
    <dxf>
      <fill>
        <patternFill patternType="solid">
          <fgColor rgb="FFFEE4DF"/>
          <bgColor rgb="FF000000"/>
        </patternFill>
      </fill>
    </dxf>
    <dxf>
      <fill>
        <patternFill patternType="solid">
          <fgColor rgb="FFFEE5DC"/>
          <bgColor rgb="FF000000"/>
        </patternFill>
      </fill>
    </dxf>
    <dxf>
      <fill>
        <patternFill patternType="solid">
          <fgColor rgb="FFFEE5DD"/>
          <bgColor rgb="FF000000"/>
        </patternFill>
      </fill>
    </dxf>
    <dxf>
      <fill>
        <patternFill patternType="solid">
          <fgColor rgb="FFFEE5DE"/>
          <bgColor rgb="FF000000"/>
        </patternFill>
      </fill>
    </dxf>
    <dxf>
      <fill>
        <patternFill patternType="solid">
          <fgColor rgb="FFFEE6DB"/>
          <bgColor rgb="FF000000"/>
        </patternFill>
      </fill>
    </dxf>
    <dxf>
      <fill>
        <patternFill patternType="solid">
          <fgColor rgb="FFFEE6DC"/>
          <bgColor rgb="FF000000"/>
        </patternFill>
      </fill>
    </dxf>
    <dxf>
      <fill>
        <patternFill patternType="solid">
          <fgColor rgb="FFFEE7D9"/>
          <bgColor rgb="FF000000"/>
        </patternFill>
      </fill>
    </dxf>
    <dxf>
      <fill>
        <patternFill patternType="solid">
          <fgColor rgb="FFFEE7DA"/>
          <bgColor rgb="FF000000"/>
        </patternFill>
      </fill>
    </dxf>
    <dxf>
      <fill>
        <patternFill patternType="solid">
          <fgColor rgb="FFFEE8D7"/>
          <bgColor rgb="FF000000"/>
        </patternFill>
      </fill>
    </dxf>
    <dxf>
      <fill>
        <patternFill patternType="solid">
          <fgColor rgb="FFFEE8D8"/>
          <bgColor rgb="FF000000"/>
        </patternFill>
      </fill>
    </dxf>
    <dxf>
      <fill>
        <patternFill patternType="solid">
          <fgColor rgb="FFFEE8D9"/>
          <bgColor rgb="FF000000"/>
        </patternFill>
      </fill>
    </dxf>
    <dxf>
      <fill>
        <patternFill patternType="solid">
          <fgColor rgb="FFFEE9D6"/>
          <bgColor rgb="FF000000"/>
        </patternFill>
      </fill>
    </dxf>
    <dxf>
      <fill>
        <patternFill patternType="solid">
          <fgColor rgb="FFFEE9D7"/>
          <bgColor rgb="FF000000"/>
        </patternFill>
      </fill>
    </dxf>
    <dxf>
      <fill>
        <patternFill patternType="solid">
          <fgColor rgb="FFFEEAD5"/>
          <bgColor rgb="FF000000"/>
        </patternFill>
      </fill>
    </dxf>
    <dxf>
      <fill>
        <patternFill patternType="solid">
          <fgColor rgb="FFFEEBD3"/>
          <bgColor rgb="FF000000"/>
        </patternFill>
      </fill>
    </dxf>
    <dxf>
      <fill>
        <patternFill patternType="solid">
          <fgColor rgb="FFFEEBD4"/>
          <bgColor rgb="FF000000"/>
        </patternFill>
      </fill>
    </dxf>
    <dxf>
      <fill>
        <patternFill patternType="solid">
          <fgColor rgb="FFFEECD1"/>
          <bgColor rgb="FF000000"/>
        </patternFill>
      </fill>
    </dxf>
    <dxf>
      <fill>
        <patternFill patternType="solid">
          <fgColor rgb="FFFEECD2"/>
          <bgColor rgb="FF000000"/>
        </patternFill>
      </fill>
    </dxf>
    <dxf>
      <fill>
        <patternFill patternType="solid">
          <fgColor rgb="FFFEECD3"/>
          <bgColor rgb="FF000000"/>
        </patternFill>
      </fill>
    </dxf>
    <dxf>
      <fill>
        <patternFill patternType="solid">
          <fgColor rgb="FFFEEDD0"/>
          <bgColor rgb="FF000000"/>
        </patternFill>
      </fill>
    </dxf>
    <dxf>
      <fill>
        <patternFill patternType="solid">
          <fgColor rgb="FFFEEDD1"/>
          <bgColor rgb="FF000000"/>
        </patternFill>
      </fill>
    </dxf>
    <dxf>
      <fill>
        <patternFill patternType="solid">
          <fgColor rgb="FFFEEECE"/>
          <bgColor rgb="FF000000"/>
        </patternFill>
      </fill>
    </dxf>
    <dxf>
      <fill>
        <patternFill patternType="solid">
          <fgColor rgb="FFFEEECF"/>
          <bgColor rgb="FF000000"/>
        </patternFill>
      </fill>
    </dxf>
    <dxf>
      <fill>
        <patternFill patternType="solid">
          <fgColor rgb="FFFEEFCC"/>
          <bgColor rgb="FF000000"/>
        </patternFill>
      </fill>
    </dxf>
    <dxf>
      <fill>
        <patternFill patternType="solid">
          <fgColor rgb="FFFEEFCD"/>
          <bgColor rgb="FF000000"/>
        </patternFill>
      </fill>
    </dxf>
    <dxf>
      <fill>
        <patternFill patternType="solid">
          <fgColor rgb="FFFEEFCE"/>
          <bgColor rgb="FF000000"/>
        </patternFill>
      </fill>
    </dxf>
    <dxf>
      <fill>
        <patternFill patternType="solid">
          <fgColor rgb="FFFEF0CB"/>
          <bgColor rgb="FF000000"/>
        </patternFill>
      </fill>
    </dxf>
    <dxf>
      <fill>
        <patternFill patternType="solid">
          <fgColor rgb="FFFEF0CC"/>
          <bgColor rgb="FF000000"/>
        </patternFill>
      </fill>
    </dxf>
    <dxf>
      <fill>
        <patternFill patternType="solid">
          <fgColor rgb="FFFEF1CA"/>
          <bgColor rgb="FF000000"/>
        </patternFill>
      </fill>
    </dxf>
    <dxf>
      <fill>
        <patternFill patternType="solid">
          <fgColor rgb="FFFEF2C8"/>
          <bgColor rgb="FF000000"/>
        </patternFill>
      </fill>
    </dxf>
    <dxf>
      <fill>
        <patternFill patternType="solid">
          <fgColor rgb="FFFEF2C9"/>
          <bgColor rgb="FF000000"/>
        </patternFill>
      </fill>
    </dxf>
    <dxf>
      <fill>
        <patternFill patternType="solid">
          <fgColor rgb="FFFEF3C7"/>
          <bgColor rgb="FF000000"/>
        </patternFill>
      </fill>
    </dxf>
    <dxf>
      <fill>
        <patternFill patternType="solid">
          <fgColor rgb="FF065F46"/>
          <bgColor rgb="FF000000"/>
        </patternFill>
      </fill>
    </dxf>
    <dxf>
      <fill>
        <patternFill patternType="solid">
          <fgColor rgb="FF991B1B"/>
          <bgColor rgb="FF000000"/>
        </patternFill>
      </fill>
    </dxf>
    <dxf>
      <font>
        <name val="Calibri"/>
        <charset val="1"/>
        <family val="0"/>
        <b val="1"/>
        <color rgb="FF065F46"/>
        <sz val="10"/>
      </font>
      <fill>
        <patternFill>
          <bgColor rgb="FFD1FAE5"/>
        </patternFill>
      </fill>
    </dxf>
    <dxf>
      <font>
        <name val="Calibri"/>
        <charset val="1"/>
        <family val="0"/>
        <b val="1"/>
        <color rgb="FF991B1B"/>
        <sz val="10"/>
      </font>
      <fill>
        <patternFill>
          <bgColor rgb="FFFEE2E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65F46"/>
      <rgbColor rgb="FFC0C0C0"/>
      <rgbColor rgb="FF878787"/>
      <rgbColor rgb="FF9999FF"/>
      <rgbColor rgb="FF993366"/>
      <rgbColor rgb="FFF8FAFC"/>
      <rgbColor rgb="FFEFF6FF"/>
      <rgbColor rgb="FF660066"/>
      <rgbColor rgb="FFFB923C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D1FAE5"/>
      <rgbColor rgb="FFFFFF99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59E0B"/>
      <rgbColor rgb="FFF97316"/>
      <rgbColor rgb="FF4F81BD"/>
      <rgbColor rgb="FF969696"/>
      <rgbColor rgb="FF1E40AF"/>
      <rgbColor rgb="FF339966"/>
      <rgbColor rgb="FF003300"/>
      <rgbColor rgb="FF333300"/>
      <rgbColor rgb="FF991B1B"/>
      <rgbColor rgb="FF993366"/>
      <rgbColor rgb="FF1E3A8A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Active Headcount by Department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'HR Dashboard'!B9</c:f>
              <c:strCache>
                <c:ptCount val="1"/>
                <c:pt idx="0">
                  <c:v>Active</c:v>
                </c:pt>
              </c:strCache>
            </c:strRef>
          </c:tx>
          <c:spPr>
            <a:solidFill>
              <a:srgbClr val="1e3a8a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'HR Dashboard'!$A$10:$A$16</c:f>
              <c:strCache>
                <c:ptCount val="7"/>
                <c:pt idx="0">
                  <c:v>Engineering</c:v>
                </c:pt>
                <c:pt idx="1">
                  <c:v>Sales</c:v>
                </c:pt>
                <c:pt idx="2">
                  <c:v>Operations</c:v>
                </c:pt>
                <c:pt idx="3">
                  <c:v>Marketing</c:v>
                </c:pt>
                <c:pt idx="4">
                  <c:v>Finance</c:v>
                </c:pt>
                <c:pt idx="5">
                  <c:v>HR</c:v>
                </c:pt>
                <c:pt idx="6">
                  <c:v>Customer Success</c:v>
                </c:pt>
              </c:strCache>
            </c:strRef>
          </c:cat>
          <c:val>
            <c:numRef>
              <c:f>'HR Dashboard'!$B$10:$B$16</c:f>
              <c:numCache>
                <c:formatCode>#,##0;\(#,##0\);\-</c:formatCode>
                <c:ptCount val="7"/>
                <c:pt idx="0">
                  <c:v>46</c:v>
                </c:pt>
                <c:pt idx="1">
                  <c:v>65</c:v>
                </c:pt>
                <c:pt idx="2">
                  <c:v>58</c:v>
                </c:pt>
                <c:pt idx="3">
                  <c:v>59</c:v>
                </c:pt>
                <c:pt idx="4">
                  <c:v>47</c:v>
                </c:pt>
                <c:pt idx="5">
                  <c:v>50</c:v>
                </c:pt>
                <c:pt idx="6">
                  <c:v>46</c:v>
                </c:pt>
              </c:numCache>
            </c:numRef>
          </c:val>
        </c:ser>
        <c:gapWidth val="150"/>
        <c:overlap val="0"/>
        <c:axId val="59141742"/>
        <c:axId val="75173613"/>
      </c:barChart>
      <c:catAx>
        <c:axId val="5914174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5173613"/>
        <c:crosses val="autoZero"/>
        <c:auto val="1"/>
        <c:lblAlgn val="ctr"/>
        <c:lblOffset val="100"/>
        <c:noMultiLvlLbl val="0"/>
      </c:catAx>
      <c:valAx>
        <c:axId val="7517361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;\(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914174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Hiring Funnel Conversion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doughnutChart>
        <c:varyColors val="1"/>
        <c:ser>
          <c:idx val="0"/>
          <c:order val="0"/>
          <c:tx>
            <c:strRef>
              <c:f>'HR Dashboard'!H9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1e3a8a"/>
              </a:solidFill>
              <a:ln w="0">
                <a:noFill/>
              </a:ln>
            </c:spPr>
          </c:dPt>
          <c:dPt>
            <c:idx val="1"/>
            <c:spPr>
              <a:solidFill>
                <a:srgbClr val="1e40af"/>
              </a:solidFill>
              <a:ln w="0">
                <a:noFill/>
              </a:ln>
            </c:spPr>
          </c:dPt>
          <c:dPt>
            <c:idx val="2"/>
            <c:spPr>
              <a:solidFill>
                <a:srgbClr val="f97316"/>
              </a:solidFill>
              <a:ln w="0">
                <a:noFill/>
              </a:ln>
            </c:spPr>
          </c:dPt>
          <c:dPt>
            <c:idx val="3"/>
            <c:spPr>
              <a:solidFill>
                <a:srgbClr val="f59e0b"/>
              </a:solidFill>
              <a:ln w="0">
                <a:noFill/>
              </a:ln>
            </c:spPr>
          </c:dPt>
          <c:dPt>
            <c:idx val="4"/>
            <c:spPr>
              <a:solidFill>
                <a:srgbClr val="fb923c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'HR Dashboard'!$G$10:$G$14</c:f>
              <c:strCache>
                <c:ptCount val="5"/>
                <c:pt idx="0">
                  <c:v>Applied</c:v>
                </c:pt>
                <c:pt idx="1">
                  <c:v>Screened</c:v>
                </c:pt>
                <c:pt idx="2">
                  <c:v>Interviewed</c:v>
                </c:pt>
                <c:pt idx="3">
                  <c:v>Offered</c:v>
                </c:pt>
                <c:pt idx="4">
                  <c:v>Hired</c:v>
                </c:pt>
              </c:strCache>
            </c:strRef>
          </c:cat>
          <c:val>
            <c:numRef>
              <c:f>'HR Dashboard'!$H$10:$H$14</c:f>
              <c:numCache>
                <c:formatCode>#,##0;\(#,##0\);\-</c:formatCode>
                <c:ptCount val="5"/>
                <c:pt idx="0">
                  <c:v>3200</c:v>
                </c:pt>
                <c:pt idx="1">
                  <c:v>980</c:v>
                </c:pt>
                <c:pt idx="2">
                  <c:v>410</c:v>
                </c:pt>
                <c:pt idx="3">
                  <c:v>95</c:v>
                </c:pt>
                <c:pt idx="4">
                  <c:v>78</c:v>
                </c:pt>
              </c:numCache>
            </c:numRef>
          </c:val>
        </c:ser>
        <c:firstSliceAng val="0"/>
        <c:holeSize val="50"/>
      </c:doughnut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20</xdr:row>
      <xdr:rowOff>0</xdr:rowOff>
    </xdr:from>
    <xdr:to>
      <xdr:col>6</xdr:col>
      <xdr:colOff>34920</xdr:colOff>
      <xdr:row>37</xdr:row>
      <xdr:rowOff>720</xdr:rowOff>
    </xdr:to>
    <xdr:graphicFrame>
      <xdr:nvGraphicFramePr>
        <xdr:cNvPr id="0" name="Chart 1"/>
        <xdr:cNvGraphicFramePr/>
      </xdr:nvGraphicFramePr>
      <xdr:xfrm>
        <a:off x="0" y="5648400"/>
        <a:ext cx="5039280" cy="32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20</xdr:row>
      <xdr:rowOff>0</xdr:rowOff>
    </xdr:from>
    <xdr:to>
      <xdr:col>9</xdr:col>
      <xdr:colOff>560880</xdr:colOff>
      <xdr:row>37</xdr:row>
      <xdr:rowOff>720</xdr:rowOff>
    </xdr:to>
    <xdr:graphicFrame>
      <xdr:nvGraphicFramePr>
        <xdr:cNvPr id="1" name="Chart 2"/>
        <xdr:cNvGraphicFramePr/>
      </xdr:nvGraphicFramePr>
      <xdr:xfrm>
        <a:off x="5004360" y="5648400"/>
        <a:ext cx="3239280" cy="32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G13" activeCellId="0" sqref="G1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1"/>
    <col collapsed="false" customWidth="true" hidden="false" outlineLevel="0" max="5" min="3" style="1" width="12"/>
    <col collapsed="false" customWidth="true" hidden="false" outlineLevel="0" max="6" min="6" style="1" width="2"/>
    <col collapsed="false" customWidth="true" hidden="false" outlineLevel="0" max="7" min="7" style="1" width="16"/>
    <col collapsed="false" customWidth="true" hidden="false" outlineLevel="0" max="9" min="8" style="1" width="11"/>
  </cols>
  <sheetData>
    <row r="1" customFormat="false" ht="49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customFormat="false" ht="21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3"/>
    </row>
    <row r="3" customFormat="false" ht="7.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</row>
    <row r="4" customFormat="false" ht="21.75" hidden="false" customHeight="true" outlineLevel="0" collapsed="false">
      <c r="A4" s="5" t="s">
        <v>2</v>
      </c>
      <c r="B4" s="5"/>
      <c r="C4" s="5" t="s">
        <v>3</v>
      </c>
      <c r="D4" s="5"/>
      <c r="E4" s="5" t="s">
        <v>4</v>
      </c>
      <c r="F4" s="5"/>
      <c r="G4" s="5" t="s">
        <v>5</v>
      </c>
      <c r="H4" s="5"/>
      <c r="I4" s="3"/>
      <c r="J4" s="3"/>
    </row>
    <row r="5" customFormat="false" ht="49.5" hidden="false" customHeight="true" outlineLevel="0" collapsed="false">
      <c r="A5" s="6" t="n">
        <f aca="false">COUNTA(Employees!A2:A413)</f>
        <v>412</v>
      </c>
      <c r="B5" s="6"/>
      <c r="C5" s="7" t="n">
        <f aca="false">COUNTIF(Employees!H2:H413,"Left")/COUNTA(Employees!A2:A413)</f>
        <v>0.0995145631067961</v>
      </c>
      <c r="D5" s="7"/>
      <c r="E5" s="8" t="n">
        <f aca="false">AVERAGE(Employees!F2:F413)</f>
        <v>4.15995145631068</v>
      </c>
      <c r="F5" s="8"/>
      <c r="G5" s="9" t="n">
        <f aca="false">AVERAGE(Employees!G2:G413)</f>
        <v>3.86485436893204</v>
      </c>
      <c r="H5" s="9"/>
      <c r="I5" s="3"/>
      <c r="J5" s="3"/>
    </row>
    <row r="6" customFormat="false" ht="12" hidden="false" customHeight="true" outlineLevel="0" collapsed="false">
      <c r="A6" s="3"/>
      <c r="B6" s="3"/>
      <c r="C6" s="3"/>
      <c r="D6" s="3"/>
      <c r="E6" s="3"/>
      <c r="F6" s="3"/>
      <c r="G6" s="3"/>
      <c r="H6" s="3"/>
      <c r="I6" s="3"/>
      <c r="J6" s="3"/>
    </row>
    <row r="7" customFormat="false" ht="12" hidden="false" customHeight="true" outlineLevel="0" collapsed="false">
      <c r="A7" s="3"/>
      <c r="B7" s="3"/>
      <c r="C7" s="3"/>
      <c r="D7" s="3"/>
      <c r="E7" s="3"/>
      <c r="F7" s="3"/>
      <c r="G7" s="3"/>
      <c r="H7" s="3"/>
      <c r="I7" s="3"/>
      <c r="J7" s="3"/>
    </row>
    <row r="8" customFormat="false" ht="25.5" hidden="false" customHeight="true" outlineLevel="0" collapsed="false">
      <c r="A8" s="10" t="s">
        <v>6</v>
      </c>
      <c r="B8" s="10"/>
      <c r="C8" s="10"/>
      <c r="D8" s="10"/>
      <c r="E8" s="10"/>
      <c r="F8" s="3"/>
      <c r="G8" s="10" t="s">
        <v>7</v>
      </c>
      <c r="H8" s="10"/>
      <c r="I8" s="10"/>
      <c r="J8" s="3"/>
    </row>
    <row r="9" customFormat="false" ht="27.75" hidden="false" customHeight="true" outlineLevel="0" collapsed="false">
      <c r="A9" s="11" t="s">
        <v>8</v>
      </c>
      <c r="B9" s="11" t="s">
        <v>9</v>
      </c>
      <c r="C9" s="11" t="s">
        <v>10</v>
      </c>
      <c r="D9" s="11" t="s">
        <v>11</v>
      </c>
      <c r="E9" s="11" t="s">
        <v>12</v>
      </c>
      <c r="F9" s="3"/>
      <c r="G9" s="11" t="s">
        <v>13</v>
      </c>
      <c r="H9" s="11" t="s">
        <v>14</v>
      </c>
      <c r="I9" s="11" t="s">
        <v>15</v>
      </c>
      <c r="J9" s="3"/>
    </row>
    <row r="10" customFormat="false" ht="21.75" hidden="false" customHeight="true" outlineLevel="0" collapsed="false">
      <c r="A10" s="12" t="s">
        <v>16</v>
      </c>
      <c r="B10" s="13" t="n">
        <f aca="false">COUNTIFS(Employees!B:B,A10,Employees!H:H,"Active")</f>
        <v>46</v>
      </c>
      <c r="C10" s="13" t="n">
        <f aca="false">COUNTIFS(Employees!B:B,A10,Employees!H:H,"Left")</f>
        <v>5</v>
      </c>
      <c r="D10" s="14" t="n">
        <f aca="false">IFERROR(C10/(B10+C10),0)</f>
        <v>0.0980392156862745</v>
      </c>
      <c r="E10" s="15" t="n">
        <f aca="false">IFERROR(AVERAGEIFS(Employees!F:F,Employees!B:B,A10),0)</f>
        <v>4.37058823529412</v>
      </c>
      <c r="F10" s="3"/>
      <c r="G10" s="12" t="s">
        <v>17</v>
      </c>
      <c r="H10" s="13" t="n">
        <v>3200</v>
      </c>
      <c r="I10" s="14" t="n">
        <v>1</v>
      </c>
      <c r="J10" s="3"/>
    </row>
    <row r="11" customFormat="false" ht="21.75" hidden="false" customHeight="true" outlineLevel="0" collapsed="false">
      <c r="A11" s="16" t="s">
        <v>18</v>
      </c>
      <c r="B11" s="17" t="n">
        <f aca="false">COUNTIFS(Employees!B:B,A11,Employees!H:H,"Active")</f>
        <v>65</v>
      </c>
      <c r="C11" s="17" t="n">
        <f aca="false">COUNTIFS(Employees!B:B,A11,Employees!H:H,"Left")</f>
        <v>11</v>
      </c>
      <c r="D11" s="18" t="n">
        <f aca="false">IFERROR(C11/(B11+C11),0)</f>
        <v>0.144736842105263</v>
      </c>
      <c r="E11" s="19" t="n">
        <f aca="false">IFERROR(AVERAGEIFS(Employees!F:F,Employees!B:B,A11),0)</f>
        <v>4.44473684210526</v>
      </c>
      <c r="F11" s="3"/>
      <c r="G11" s="16" t="s">
        <v>19</v>
      </c>
      <c r="H11" s="17" t="n">
        <v>980</v>
      </c>
      <c r="I11" s="18" t="n">
        <f aca="false">H11/H10</f>
        <v>0.30625</v>
      </c>
      <c r="J11" s="3"/>
    </row>
    <row r="12" customFormat="false" ht="21.75" hidden="false" customHeight="true" outlineLevel="0" collapsed="false">
      <c r="A12" s="12" t="s">
        <v>20</v>
      </c>
      <c r="B12" s="13" t="n">
        <f aca="false">COUNTIFS(Employees!B:B,A12,Employees!H:H,"Active")</f>
        <v>58</v>
      </c>
      <c r="C12" s="13" t="n">
        <f aca="false">COUNTIFS(Employees!B:B,A12,Employees!H:H,"Left")</f>
        <v>1</v>
      </c>
      <c r="D12" s="14" t="n">
        <f aca="false">IFERROR(C12/(B12+C12),0)</f>
        <v>0.0169491525423729</v>
      </c>
      <c r="E12" s="15" t="n">
        <f aca="false">IFERROR(AVERAGEIFS(Employees!F:F,Employees!B:B,A12),0)</f>
        <v>3.97796610169492</v>
      </c>
      <c r="F12" s="3"/>
      <c r="G12" s="12" t="s">
        <v>21</v>
      </c>
      <c r="H12" s="13" t="n">
        <v>410</v>
      </c>
      <c r="I12" s="14" t="n">
        <f aca="false">H12/H11</f>
        <v>0.418367346938776</v>
      </c>
      <c r="J12" s="3"/>
    </row>
    <row r="13" customFormat="false" ht="21.75" hidden="false" customHeight="true" outlineLevel="0" collapsed="false">
      <c r="A13" s="16" t="s">
        <v>22</v>
      </c>
      <c r="B13" s="17" t="n">
        <f aca="false">COUNTIFS(Employees!B:B,A13,Employees!H:H,"Active")</f>
        <v>59</v>
      </c>
      <c r="C13" s="17" t="n">
        <f aca="false">COUNTIFS(Employees!B:B,A13,Employees!H:H,"Left")</f>
        <v>4</v>
      </c>
      <c r="D13" s="18" t="n">
        <f aca="false">IFERROR(C13/(B13+C13),0)</f>
        <v>0.0634920634920635</v>
      </c>
      <c r="E13" s="19" t="n">
        <f aca="false">IFERROR(AVERAGEIFS(Employees!F:F,Employees!B:B,A13),0)</f>
        <v>3.87142857142857</v>
      </c>
      <c r="F13" s="3"/>
      <c r="G13" s="16" t="s">
        <v>23</v>
      </c>
      <c r="H13" s="17" t="n">
        <v>95</v>
      </c>
      <c r="I13" s="18" t="n">
        <f aca="false">H13/H12</f>
        <v>0.231707317073171</v>
      </c>
      <c r="J13" s="3"/>
    </row>
    <row r="14" customFormat="false" ht="21.75" hidden="false" customHeight="true" outlineLevel="0" collapsed="false">
      <c r="A14" s="12" t="s">
        <v>24</v>
      </c>
      <c r="B14" s="13" t="n">
        <f aca="false">COUNTIFS(Employees!B:B,A14,Employees!H:H,"Active")</f>
        <v>47</v>
      </c>
      <c r="C14" s="13" t="n">
        <f aca="false">COUNTIFS(Employees!B:B,A14,Employees!H:H,"Left")</f>
        <v>7</v>
      </c>
      <c r="D14" s="14" t="n">
        <f aca="false">IFERROR(C14/(B14+C14),0)</f>
        <v>0.12962962962963</v>
      </c>
      <c r="E14" s="15" t="n">
        <f aca="false">IFERROR(AVERAGEIFS(Employees!F:F,Employees!B:B,A14),0)</f>
        <v>4.22777777777778</v>
      </c>
      <c r="F14" s="3"/>
      <c r="G14" s="12" t="s">
        <v>25</v>
      </c>
      <c r="H14" s="13" t="n">
        <v>78</v>
      </c>
      <c r="I14" s="14" t="n">
        <f aca="false">H14/H13</f>
        <v>0.821052631578947</v>
      </c>
      <c r="J14" s="3"/>
    </row>
    <row r="15" customFormat="false" ht="21.75" hidden="false" customHeight="true" outlineLevel="0" collapsed="false">
      <c r="A15" s="16" t="s">
        <v>26</v>
      </c>
      <c r="B15" s="17" t="n">
        <f aca="false">COUNTIFS(Employees!B:B,A15,Employees!H:H,"Active")</f>
        <v>50</v>
      </c>
      <c r="C15" s="17" t="n">
        <f aca="false">COUNTIFS(Employees!B:B,A15,Employees!H:H,"Left")</f>
        <v>7</v>
      </c>
      <c r="D15" s="18" t="n">
        <f aca="false">IFERROR(C15/(B15+C15),0)</f>
        <v>0.12280701754386</v>
      </c>
      <c r="E15" s="19" t="n">
        <f aca="false">IFERROR(AVERAGEIFS(Employees!F:F,Employees!B:B,A15),0)</f>
        <v>3.80877192982456</v>
      </c>
      <c r="F15" s="3"/>
      <c r="G15" s="3"/>
      <c r="H15" s="3"/>
      <c r="I15" s="3"/>
      <c r="J15" s="3"/>
    </row>
    <row r="16" customFormat="false" ht="21.75" hidden="false" customHeight="true" outlineLevel="0" collapsed="false">
      <c r="A16" s="12" t="s">
        <v>27</v>
      </c>
      <c r="B16" s="13" t="n">
        <f aca="false">COUNTIFS(Employees!B:B,A16,Employees!H:H,"Active")</f>
        <v>46</v>
      </c>
      <c r="C16" s="13" t="n">
        <f aca="false">COUNTIFS(Employees!B:B,A16,Employees!H:H,"Left")</f>
        <v>6</v>
      </c>
      <c r="D16" s="14" t="n">
        <f aca="false">IFERROR(C16/(B16+C16),0)</f>
        <v>0.115384615384615</v>
      </c>
      <c r="E16" s="15" t="n">
        <f aca="false">IFERROR(AVERAGEIFS(Employees!F:F,Employees!B:B,A16),0)</f>
        <v>4.40769230769231</v>
      </c>
      <c r="F16" s="3"/>
      <c r="G16" s="3"/>
      <c r="H16" s="3"/>
      <c r="I16" s="3"/>
      <c r="J16" s="3"/>
    </row>
    <row r="17" customFormat="false" ht="9.75" hidden="false" customHeight="true" outlineLevel="0" collapsed="false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customFormat="false" ht="15" hidden="false" customHeight="false" outlineLevel="0" collapsed="false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customFormat="false" ht="25.5" hidden="false" customHeight="true" outlineLevel="0" collapsed="false">
      <c r="A19" s="10" t="s">
        <v>28</v>
      </c>
      <c r="B19" s="10"/>
      <c r="C19" s="10"/>
      <c r="D19" s="10"/>
      <c r="E19" s="10"/>
      <c r="F19" s="10"/>
      <c r="G19" s="10"/>
      <c r="H19" s="10"/>
      <c r="I19" s="10"/>
      <c r="J19" s="3"/>
    </row>
    <row r="20" customFormat="false" ht="15" hidden="false" customHeight="false" outlineLevel="0" collapsed="false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customFormat="false" ht="15" hidden="false" customHeight="false" outlineLevel="0" collapsed="false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customFormat="false" ht="15" hidden="false" customHeight="false" outlineLevel="0" collapsed="false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customFormat="false" ht="15" hidden="false" customHeight="fals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customFormat="false" ht="15" hidden="false" customHeight="false" outlineLevel="0" collapsed="false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customFormat="false" ht="15" hidden="false" customHeight="false" outlineLevel="0" collapsed="false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customFormat="false" ht="15" hidden="false" customHeight="fals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customFormat="false" ht="1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customFormat="false" ht="15" hidden="false" customHeight="fals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customFormat="false" ht="1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customFormat="false" ht="1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customFormat="false" ht="1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customFormat="false" ht="1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customFormat="false" ht="15" hidden="false" customHeight="fals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customFormat="false" ht="15" hidden="false" customHeight="fals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customFormat="false" ht="15" hidden="false" customHeight="fals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customFormat="false" ht="15" hidden="false" customHeight="fals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customFormat="false" ht="15" hidden="false" customHeight="fals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customFormat="false" ht="1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customFormat="false" ht="15" hidden="false" customHeight="false" outlineLevel="0" collapsed="false">
      <c r="A40" s="3"/>
      <c r="B40" s="3"/>
      <c r="C40" s="3"/>
      <c r="D40" s="3"/>
      <c r="E40" s="3"/>
      <c r="F40" s="3"/>
      <c r="G40" s="3"/>
      <c r="H40" s="3"/>
      <c r="I40" s="3"/>
      <c r="J40" s="3"/>
    </row>
  </sheetData>
  <mergeCells count="13">
    <mergeCell ref="A1:I1"/>
    <mergeCell ref="A2:I2"/>
    <mergeCell ref="A4:B4"/>
    <mergeCell ref="C4:D4"/>
    <mergeCell ref="E4:F4"/>
    <mergeCell ref="G4:H4"/>
    <mergeCell ref="A5:B5"/>
    <mergeCell ref="C5:D5"/>
    <mergeCell ref="E5:F5"/>
    <mergeCell ref="G5:H5"/>
    <mergeCell ref="A8:E8"/>
    <mergeCell ref="G8:I8"/>
    <mergeCell ref="A19:I19"/>
  </mergeCells>
  <conditionalFormatting sqref="D10:D16">
    <cfRule type="colorScale" priority="2">
      <colorScale>
        <cfvo type="min" val="0"/>
        <cfvo type="num" val="0.1"/>
        <cfvo type="max" val="0"/>
        <color rgb="FFC6EFCE"/>
        <color rgb="FFFFEB9C"/>
        <color rgb="FFFFC7CE"/>
      </colorScale>
    </cfRule>
    <cfRule type="colorScale" priority="3">
      <colorScale>
        <cfvo type="min" val="0"/>
        <cfvo type="percentile" val="50"/>
        <cfvo type="max" val="0"/>
        <color rgb="FFD1FAE5"/>
        <color rgb="FFFEF3C7"/>
        <color rgb="FFFEE2E2"/>
      </colorScale>
    </cfRule>
  </conditionalFormatting>
  <conditionalFormatting sqref="B10:B16">
    <cfRule type="dataBar" priority="4">
      <dataBar showValue="1" minLength="10" maxLength="90">
        <cfvo type="min" val="0"/>
        <cfvo type="max" val="0"/>
        <color rgb="FFF97316"/>
      </dataBar>
      <extLst>
        <ext xmlns:x14="http://schemas.microsoft.com/office/spreadsheetml/2009/9/main" uri="{B025F937-C7B1-47D3-B67F-A62EFF666E3E}">
          <x14:id>{A7522AF2-6672-4F68-881F-1984DDCF6053}</x14:id>
        </ext>
      </extLst>
    </cfRule>
  </conditionalFormatting>
  <conditionalFormatting sqref="H10:H14">
    <cfRule type="dataBar" priority="5">
      <dataBar showValue="1" minLength="10" maxLength="90">
        <cfvo type="min" val="0"/>
        <cfvo type="max" val="0"/>
        <color rgb="FF1E3A8A"/>
      </dataBar>
      <extLst>
        <ext xmlns:x14="http://schemas.microsoft.com/office/spreadsheetml/2009/9/main" uri="{B025F937-C7B1-47D3-B67F-A62EFF666E3E}">
          <x14:id>{CBF39A41-B39E-41A1-A973-B6C05FB0B7CF}</x14:id>
        </ext>
      </extLst>
    </cfRule>
  </conditionalFormatting>
  <printOptions headings="false" gridLines="false" gridLinesSet="true" horizontalCentered="tru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7522AF2-6672-4F68-881F-1984DDCF6053}">
            <x14:dataBar minLength="10" maxLength="90" axisPosition="none" gradient="true">
              <x14:cfvo type="min"/>
              <x14:cfvo type="max"/>
              <x14:negativeFillColor rgb="FFF97316"/>
              <x14:axisColor rgb="FF000000"/>
            </x14:dataBar>
          </x14:cfRule>
          <xm:sqref>B10:B16</xm:sqref>
        </x14:conditionalFormatting>
        <x14:conditionalFormatting xmlns:xm="http://schemas.microsoft.com/office/excel/2006/main">
          <x14:cfRule type="dataBar" id="{CBF39A41-B39E-41A1-A973-B6C05FB0B7CF}">
            <x14:dataBar minLength="10" maxLength="90" axisPosition="none" gradient="true">
              <x14:cfvo type="min"/>
              <x14:cfvo type="max"/>
              <x14:negativeFillColor rgb="FF1E3A8A"/>
              <x14:axisColor rgb="FF000000"/>
            </x14:dataBar>
          </x14:cfRule>
          <xm:sqref>H10:H14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18"/>
    <col collapsed="false" customWidth="true" hidden="false" outlineLevel="0" max="3" min="3" style="1" width="16"/>
    <col collapsed="false" customWidth="true" hidden="false" outlineLevel="0" max="4" min="4" style="1" width="14"/>
    <col collapsed="false" customWidth="true" hidden="false" outlineLevel="0" max="5" min="5" style="1" width="10"/>
    <col collapsed="false" customWidth="true" hidden="false" outlineLevel="0" max="6" min="6" style="1" width="11"/>
    <col collapsed="false" customWidth="true" hidden="false" outlineLevel="0" max="7" min="7" style="1" width="13"/>
    <col collapsed="false" customWidth="true" hidden="false" outlineLevel="0" max="9" min="8" style="1" width="11"/>
  </cols>
  <sheetData>
    <row r="1" customFormat="false" ht="27.75" hidden="false" customHeight="true" outlineLevel="0" collapsed="false">
      <c r="A1" s="11" t="s">
        <v>29</v>
      </c>
      <c r="B1" s="11" t="s">
        <v>8</v>
      </c>
      <c r="C1" s="11" t="s">
        <v>30</v>
      </c>
      <c r="D1" s="11" t="s">
        <v>31</v>
      </c>
      <c r="E1" s="11" t="s">
        <v>32</v>
      </c>
      <c r="F1" s="11" t="s">
        <v>33</v>
      </c>
      <c r="G1" s="11" t="s">
        <v>34</v>
      </c>
      <c r="H1" s="11" t="s">
        <v>35</v>
      </c>
      <c r="I1" s="11" t="s">
        <v>36</v>
      </c>
    </row>
    <row r="2" customFormat="false" ht="19.5" hidden="false" customHeight="true" outlineLevel="0" collapsed="false">
      <c r="A2" s="20" t="s">
        <v>37</v>
      </c>
      <c r="B2" s="21" t="s">
        <v>22</v>
      </c>
      <c r="C2" s="21" t="s">
        <v>38</v>
      </c>
      <c r="D2" s="22" t="n">
        <f aca="false">DATE(2026,1,1)-879</f>
        <v>45144</v>
      </c>
      <c r="E2" s="23" t="s">
        <v>39</v>
      </c>
      <c r="F2" s="19" t="n">
        <v>1.8</v>
      </c>
      <c r="G2" s="24" t="n">
        <v>3.32</v>
      </c>
      <c r="H2" s="23" t="s">
        <v>9</v>
      </c>
      <c r="I2" s="25" t="n">
        <v>77918</v>
      </c>
    </row>
    <row r="3" customFormat="false" ht="19.5" hidden="false" customHeight="true" outlineLevel="0" collapsed="false">
      <c r="A3" s="26" t="s">
        <v>40</v>
      </c>
      <c r="B3" s="27" t="s">
        <v>26</v>
      </c>
      <c r="C3" s="27" t="s">
        <v>41</v>
      </c>
      <c r="D3" s="28" t="n">
        <f aca="false">DATE(2026,1,1)-427</f>
        <v>45596</v>
      </c>
      <c r="E3" s="29" t="s">
        <v>39</v>
      </c>
      <c r="F3" s="15" t="n">
        <v>4.2</v>
      </c>
      <c r="G3" s="30" t="n">
        <v>3.69</v>
      </c>
      <c r="H3" s="29" t="s">
        <v>42</v>
      </c>
      <c r="I3" s="31" t="n">
        <v>122123</v>
      </c>
    </row>
    <row r="4" customFormat="false" ht="19.5" hidden="false" customHeight="true" outlineLevel="0" collapsed="false">
      <c r="A4" s="20" t="s">
        <v>43</v>
      </c>
      <c r="B4" s="21" t="s">
        <v>18</v>
      </c>
      <c r="C4" s="21" t="s">
        <v>44</v>
      </c>
      <c r="D4" s="22" t="n">
        <f aca="false">DATE(2026,1,1)-1649</f>
        <v>44374</v>
      </c>
      <c r="E4" s="23" t="s">
        <v>45</v>
      </c>
      <c r="F4" s="19" t="n">
        <v>5.6</v>
      </c>
      <c r="G4" s="24" t="n">
        <v>3.12</v>
      </c>
      <c r="H4" s="23" t="s">
        <v>9</v>
      </c>
      <c r="I4" s="25" t="n">
        <v>119306</v>
      </c>
    </row>
    <row r="5" customFormat="false" ht="19.5" hidden="false" customHeight="true" outlineLevel="0" collapsed="false">
      <c r="A5" s="26" t="s">
        <v>46</v>
      </c>
      <c r="B5" s="27" t="s">
        <v>20</v>
      </c>
      <c r="C5" s="27" t="s">
        <v>47</v>
      </c>
      <c r="D5" s="28" t="n">
        <f aca="false">DATE(2026,1,1)-419</f>
        <v>45604</v>
      </c>
      <c r="E5" s="29" t="s">
        <v>48</v>
      </c>
      <c r="F5" s="15" t="n">
        <v>2.9</v>
      </c>
      <c r="G5" s="30" t="n">
        <v>2.89</v>
      </c>
      <c r="H5" s="29" t="s">
        <v>9</v>
      </c>
      <c r="I5" s="31" t="n">
        <v>45998</v>
      </c>
    </row>
    <row r="6" customFormat="false" ht="19.5" hidden="false" customHeight="true" outlineLevel="0" collapsed="false">
      <c r="A6" s="20" t="s">
        <v>49</v>
      </c>
      <c r="B6" s="21" t="s">
        <v>22</v>
      </c>
      <c r="C6" s="21" t="s">
        <v>50</v>
      </c>
      <c r="D6" s="22" t="n">
        <f aca="false">DATE(2026,1,1)-1544</f>
        <v>44479</v>
      </c>
      <c r="E6" s="23" t="s">
        <v>39</v>
      </c>
      <c r="F6" s="19" t="n">
        <v>1.1</v>
      </c>
      <c r="G6" s="24" t="n">
        <v>3.89</v>
      </c>
      <c r="H6" s="23" t="s">
        <v>9</v>
      </c>
      <c r="I6" s="25" t="n">
        <v>124365</v>
      </c>
    </row>
    <row r="7" customFormat="false" ht="19.5" hidden="false" customHeight="true" outlineLevel="0" collapsed="false">
      <c r="A7" s="26" t="s">
        <v>51</v>
      </c>
      <c r="B7" s="27" t="s">
        <v>22</v>
      </c>
      <c r="C7" s="27" t="s">
        <v>50</v>
      </c>
      <c r="D7" s="28" t="n">
        <f aca="false">DATE(2026,1,1)-1524</f>
        <v>44499</v>
      </c>
      <c r="E7" s="29" t="s">
        <v>52</v>
      </c>
      <c r="F7" s="15" t="n">
        <v>2.1</v>
      </c>
      <c r="G7" s="30" t="n">
        <v>4.73</v>
      </c>
      <c r="H7" s="29" t="s">
        <v>9</v>
      </c>
      <c r="I7" s="31" t="n">
        <v>142977</v>
      </c>
    </row>
    <row r="8" customFormat="false" ht="19.5" hidden="false" customHeight="true" outlineLevel="0" collapsed="false">
      <c r="A8" s="20" t="s">
        <v>53</v>
      </c>
      <c r="B8" s="21" t="s">
        <v>27</v>
      </c>
      <c r="C8" s="21" t="s">
        <v>54</v>
      </c>
      <c r="D8" s="22" t="n">
        <f aca="false">DATE(2026,1,1)-787</f>
        <v>45236</v>
      </c>
      <c r="E8" s="23" t="s">
        <v>39</v>
      </c>
      <c r="F8" s="19" t="n">
        <v>5.5</v>
      </c>
      <c r="G8" s="24" t="n">
        <v>2.88</v>
      </c>
      <c r="H8" s="23" t="s">
        <v>9</v>
      </c>
      <c r="I8" s="25" t="n">
        <v>67437</v>
      </c>
    </row>
    <row r="9" customFormat="false" ht="19.5" hidden="false" customHeight="true" outlineLevel="0" collapsed="false">
      <c r="A9" s="26" t="s">
        <v>55</v>
      </c>
      <c r="B9" s="27" t="s">
        <v>22</v>
      </c>
      <c r="C9" s="27" t="s">
        <v>56</v>
      </c>
      <c r="D9" s="28" t="n">
        <f aca="false">DATE(2026,1,1)-1776</f>
        <v>44247</v>
      </c>
      <c r="E9" s="29" t="s">
        <v>57</v>
      </c>
      <c r="F9" s="15" t="n">
        <v>7.5</v>
      </c>
      <c r="G9" s="30" t="n">
        <v>4.13</v>
      </c>
      <c r="H9" s="29" t="s">
        <v>9</v>
      </c>
      <c r="I9" s="31" t="n">
        <v>85607</v>
      </c>
    </row>
    <row r="10" customFormat="false" ht="19.5" hidden="false" customHeight="true" outlineLevel="0" collapsed="false">
      <c r="A10" s="20" t="s">
        <v>58</v>
      </c>
      <c r="B10" s="21" t="s">
        <v>24</v>
      </c>
      <c r="C10" s="21" t="s">
        <v>59</v>
      </c>
      <c r="D10" s="22" t="n">
        <f aca="false">DATE(2026,1,1)-1620</f>
        <v>44403</v>
      </c>
      <c r="E10" s="23" t="s">
        <v>60</v>
      </c>
      <c r="F10" s="19" t="n">
        <v>1.5</v>
      </c>
      <c r="G10" s="24" t="n">
        <v>3.65</v>
      </c>
      <c r="H10" s="23" t="s">
        <v>9</v>
      </c>
      <c r="I10" s="25" t="n">
        <v>128942</v>
      </c>
    </row>
    <row r="11" customFormat="false" ht="19.5" hidden="false" customHeight="true" outlineLevel="0" collapsed="false">
      <c r="A11" s="26" t="s">
        <v>61</v>
      </c>
      <c r="B11" s="27" t="s">
        <v>18</v>
      </c>
      <c r="C11" s="27" t="s">
        <v>44</v>
      </c>
      <c r="D11" s="28" t="n">
        <f aca="false">DATE(2026,1,1)-1115</f>
        <v>44908</v>
      </c>
      <c r="E11" s="29" t="s">
        <v>39</v>
      </c>
      <c r="F11" s="15" t="n">
        <v>3.5</v>
      </c>
      <c r="G11" s="30" t="n">
        <v>4.4</v>
      </c>
      <c r="H11" s="29" t="s">
        <v>9</v>
      </c>
      <c r="I11" s="31" t="n">
        <v>136094</v>
      </c>
    </row>
    <row r="12" customFormat="false" ht="19.5" hidden="false" customHeight="true" outlineLevel="0" collapsed="false">
      <c r="A12" s="20" t="s">
        <v>62</v>
      </c>
      <c r="B12" s="21" t="s">
        <v>22</v>
      </c>
      <c r="C12" s="21" t="s">
        <v>50</v>
      </c>
      <c r="D12" s="22" t="n">
        <f aca="false">DATE(2026,1,1)-596</f>
        <v>45427</v>
      </c>
      <c r="E12" s="23" t="s">
        <v>63</v>
      </c>
      <c r="F12" s="19" t="n">
        <v>7</v>
      </c>
      <c r="G12" s="24" t="n">
        <v>4.06</v>
      </c>
      <c r="H12" s="23" t="s">
        <v>9</v>
      </c>
      <c r="I12" s="25" t="n">
        <v>124696</v>
      </c>
    </row>
    <row r="13" customFormat="false" ht="19.5" hidden="false" customHeight="true" outlineLevel="0" collapsed="false">
      <c r="A13" s="26" t="s">
        <v>64</v>
      </c>
      <c r="B13" s="27" t="s">
        <v>22</v>
      </c>
      <c r="C13" s="27" t="s">
        <v>50</v>
      </c>
      <c r="D13" s="28" t="n">
        <f aca="false">DATE(2026,1,1)-455</f>
        <v>45568</v>
      </c>
      <c r="E13" s="29" t="s">
        <v>57</v>
      </c>
      <c r="F13" s="15" t="n">
        <v>1.6</v>
      </c>
      <c r="G13" s="30" t="n">
        <v>3.17</v>
      </c>
      <c r="H13" s="29" t="s">
        <v>9</v>
      </c>
      <c r="I13" s="31" t="n">
        <v>98723</v>
      </c>
    </row>
    <row r="14" customFormat="false" ht="19.5" hidden="false" customHeight="true" outlineLevel="0" collapsed="false">
      <c r="A14" s="20" t="s">
        <v>65</v>
      </c>
      <c r="B14" s="21" t="s">
        <v>18</v>
      </c>
      <c r="C14" s="21" t="s">
        <v>66</v>
      </c>
      <c r="D14" s="22" t="n">
        <f aca="false">DATE(2026,1,1)-1367</f>
        <v>44656</v>
      </c>
      <c r="E14" s="23" t="s">
        <v>45</v>
      </c>
      <c r="F14" s="19" t="n">
        <v>4.2</v>
      </c>
      <c r="G14" s="24" t="n">
        <v>3.29</v>
      </c>
      <c r="H14" s="23" t="s">
        <v>9</v>
      </c>
      <c r="I14" s="25" t="n">
        <v>60363</v>
      </c>
    </row>
    <row r="15" customFormat="false" ht="19.5" hidden="false" customHeight="true" outlineLevel="0" collapsed="false">
      <c r="A15" s="26" t="s">
        <v>67</v>
      </c>
      <c r="B15" s="27" t="s">
        <v>27</v>
      </c>
      <c r="C15" s="27" t="s">
        <v>54</v>
      </c>
      <c r="D15" s="28" t="n">
        <f aca="false">DATE(2026,1,1)-821</f>
        <v>45202</v>
      </c>
      <c r="E15" s="29" t="s">
        <v>63</v>
      </c>
      <c r="F15" s="15" t="n">
        <v>1</v>
      </c>
      <c r="G15" s="30" t="n">
        <v>3.4</v>
      </c>
      <c r="H15" s="29" t="s">
        <v>42</v>
      </c>
      <c r="I15" s="31" t="n">
        <v>51249</v>
      </c>
    </row>
    <row r="16" customFormat="false" ht="19.5" hidden="false" customHeight="true" outlineLevel="0" collapsed="false">
      <c r="A16" s="20" t="s">
        <v>68</v>
      </c>
      <c r="B16" s="21" t="s">
        <v>20</v>
      </c>
      <c r="C16" s="21" t="s">
        <v>47</v>
      </c>
      <c r="D16" s="22" t="n">
        <f aca="false">DATE(2026,1,1)-1604</f>
        <v>44419</v>
      </c>
      <c r="E16" s="23" t="s">
        <v>48</v>
      </c>
      <c r="F16" s="19" t="n">
        <v>3</v>
      </c>
      <c r="G16" s="24" t="n">
        <v>4.51</v>
      </c>
      <c r="H16" s="23" t="s">
        <v>9</v>
      </c>
      <c r="I16" s="25" t="n">
        <v>99272</v>
      </c>
    </row>
    <row r="17" customFormat="false" ht="19.5" hidden="false" customHeight="true" outlineLevel="0" collapsed="false">
      <c r="A17" s="26" t="s">
        <v>69</v>
      </c>
      <c r="B17" s="27" t="s">
        <v>27</v>
      </c>
      <c r="C17" s="27" t="s">
        <v>54</v>
      </c>
      <c r="D17" s="28" t="n">
        <f aca="false">DATE(2026,1,1)-439</f>
        <v>45584</v>
      </c>
      <c r="E17" s="29" t="s">
        <v>52</v>
      </c>
      <c r="F17" s="15" t="n">
        <v>7.1</v>
      </c>
      <c r="G17" s="30" t="n">
        <v>4.74</v>
      </c>
      <c r="H17" s="29" t="s">
        <v>9</v>
      </c>
      <c r="I17" s="31" t="n">
        <v>103192</v>
      </c>
    </row>
    <row r="18" customFormat="false" ht="19.5" hidden="false" customHeight="true" outlineLevel="0" collapsed="false">
      <c r="A18" s="20" t="s">
        <v>70</v>
      </c>
      <c r="B18" s="21" t="s">
        <v>18</v>
      </c>
      <c r="C18" s="21" t="s">
        <v>44</v>
      </c>
      <c r="D18" s="22" t="n">
        <f aca="false">DATE(2026,1,1)-985</f>
        <v>45038</v>
      </c>
      <c r="E18" s="23" t="s">
        <v>63</v>
      </c>
      <c r="F18" s="19" t="n">
        <v>5.9</v>
      </c>
      <c r="G18" s="24" t="n">
        <v>3.02</v>
      </c>
      <c r="H18" s="23" t="s">
        <v>9</v>
      </c>
      <c r="I18" s="25" t="n">
        <v>73652</v>
      </c>
    </row>
    <row r="19" customFormat="false" ht="19.5" hidden="false" customHeight="true" outlineLevel="0" collapsed="false">
      <c r="A19" s="26" t="s">
        <v>71</v>
      </c>
      <c r="B19" s="27" t="s">
        <v>27</v>
      </c>
      <c r="C19" s="27" t="s">
        <v>72</v>
      </c>
      <c r="D19" s="28" t="n">
        <f aca="false">DATE(2026,1,1)-1082</f>
        <v>44941</v>
      </c>
      <c r="E19" s="29" t="s">
        <v>48</v>
      </c>
      <c r="F19" s="15" t="n">
        <v>2.7</v>
      </c>
      <c r="G19" s="30" t="n">
        <v>4.38</v>
      </c>
      <c r="H19" s="29" t="s">
        <v>9</v>
      </c>
      <c r="I19" s="31" t="n">
        <v>102385</v>
      </c>
    </row>
    <row r="20" customFormat="false" ht="19.5" hidden="false" customHeight="true" outlineLevel="0" collapsed="false">
      <c r="A20" s="20" t="s">
        <v>73</v>
      </c>
      <c r="B20" s="21" t="s">
        <v>22</v>
      </c>
      <c r="C20" s="21" t="s">
        <v>38</v>
      </c>
      <c r="D20" s="22" t="n">
        <f aca="false">DATE(2026,1,1)-345</f>
        <v>45678</v>
      </c>
      <c r="E20" s="23" t="s">
        <v>39</v>
      </c>
      <c r="F20" s="19" t="n">
        <v>2.7</v>
      </c>
      <c r="G20" s="24" t="n">
        <v>4.24</v>
      </c>
      <c r="H20" s="23" t="s">
        <v>9</v>
      </c>
      <c r="I20" s="25" t="n">
        <v>107534</v>
      </c>
    </row>
    <row r="21" customFormat="false" ht="19.5" hidden="false" customHeight="true" outlineLevel="0" collapsed="false">
      <c r="A21" s="26" t="s">
        <v>74</v>
      </c>
      <c r="B21" s="27" t="s">
        <v>24</v>
      </c>
      <c r="C21" s="27" t="s">
        <v>59</v>
      </c>
      <c r="D21" s="28" t="n">
        <f aca="false">DATE(2026,1,1)-1111</f>
        <v>44912</v>
      </c>
      <c r="E21" s="29" t="s">
        <v>48</v>
      </c>
      <c r="F21" s="15" t="n">
        <v>7.1</v>
      </c>
      <c r="G21" s="30" t="n">
        <v>3.66</v>
      </c>
      <c r="H21" s="29" t="s">
        <v>42</v>
      </c>
      <c r="I21" s="31" t="n">
        <v>65895</v>
      </c>
    </row>
    <row r="22" customFormat="false" ht="19.5" hidden="false" customHeight="true" outlineLevel="0" collapsed="false">
      <c r="A22" s="20" t="s">
        <v>75</v>
      </c>
      <c r="B22" s="21" t="s">
        <v>20</v>
      </c>
      <c r="C22" s="21" t="s">
        <v>38</v>
      </c>
      <c r="D22" s="22" t="n">
        <f aca="false">DATE(2026,1,1)-1862</f>
        <v>44161</v>
      </c>
      <c r="E22" s="23" t="s">
        <v>52</v>
      </c>
      <c r="F22" s="19" t="n">
        <v>3.3</v>
      </c>
      <c r="G22" s="24" t="n">
        <v>4.66</v>
      </c>
      <c r="H22" s="23" t="s">
        <v>9</v>
      </c>
      <c r="I22" s="25" t="n">
        <v>45565</v>
      </c>
    </row>
    <row r="23" customFormat="false" ht="19.5" hidden="false" customHeight="true" outlineLevel="0" collapsed="false">
      <c r="A23" s="26" t="s">
        <v>76</v>
      </c>
      <c r="B23" s="27" t="s">
        <v>26</v>
      </c>
      <c r="C23" s="27" t="s">
        <v>41</v>
      </c>
      <c r="D23" s="28" t="n">
        <f aca="false">DATE(2026,1,1)-1269</f>
        <v>44754</v>
      </c>
      <c r="E23" s="29" t="s">
        <v>45</v>
      </c>
      <c r="F23" s="15" t="n">
        <v>1.9</v>
      </c>
      <c r="G23" s="30" t="n">
        <v>4.2</v>
      </c>
      <c r="H23" s="29" t="s">
        <v>9</v>
      </c>
      <c r="I23" s="31" t="n">
        <v>128894</v>
      </c>
    </row>
    <row r="24" customFormat="false" ht="19.5" hidden="false" customHeight="true" outlineLevel="0" collapsed="false">
      <c r="A24" s="20" t="s">
        <v>77</v>
      </c>
      <c r="B24" s="21" t="s">
        <v>20</v>
      </c>
      <c r="C24" s="21" t="s">
        <v>78</v>
      </c>
      <c r="D24" s="22" t="n">
        <f aca="false">DATE(2026,1,1)-1766</f>
        <v>44257</v>
      </c>
      <c r="E24" s="23" t="s">
        <v>63</v>
      </c>
      <c r="F24" s="19" t="n">
        <v>6.1</v>
      </c>
      <c r="G24" s="24" t="n">
        <v>4.28</v>
      </c>
      <c r="H24" s="23" t="s">
        <v>9</v>
      </c>
      <c r="I24" s="25" t="n">
        <v>90290</v>
      </c>
    </row>
    <row r="25" customFormat="false" ht="19.5" hidden="false" customHeight="true" outlineLevel="0" collapsed="false">
      <c r="A25" s="26" t="s">
        <v>79</v>
      </c>
      <c r="B25" s="27" t="s">
        <v>26</v>
      </c>
      <c r="C25" s="27" t="s">
        <v>41</v>
      </c>
      <c r="D25" s="28" t="n">
        <f aca="false">DATE(2026,1,1)-74</f>
        <v>45949</v>
      </c>
      <c r="E25" s="29" t="s">
        <v>57</v>
      </c>
      <c r="F25" s="15" t="n">
        <v>4.3</v>
      </c>
      <c r="G25" s="30" t="n">
        <v>3.23</v>
      </c>
      <c r="H25" s="29" t="s">
        <v>9</v>
      </c>
      <c r="I25" s="31" t="n">
        <v>85702</v>
      </c>
    </row>
    <row r="26" customFormat="false" ht="19.5" hidden="false" customHeight="true" outlineLevel="0" collapsed="false">
      <c r="A26" s="20" t="s">
        <v>80</v>
      </c>
      <c r="B26" s="21" t="s">
        <v>26</v>
      </c>
      <c r="C26" s="21" t="s">
        <v>81</v>
      </c>
      <c r="D26" s="22" t="n">
        <f aca="false">DATE(2026,1,1)-745</f>
        <v>45278</v>
      </c>
      <c r="E26" s="23" t="s">
        <v>39</v>
      </c>
      <c r="F26" s="19" t="n">
        <v>6.4</v>
      </c>
      <c r="G26" s="24" t="n">
        <v>3.73</v>
      </c>
      <c r="H26" s="23" t="s">
        <v>9</v>
      </c>
      <c r="I26" s="25" t="n">
        <v>79590</v>
      </c>
    </row>
    <row r="27" customFormat="false" ht="19.5" hidden="false" customHeight="true" outlineLevel="0" collapsed="false">
      <c r="A27" s="26" t="s">
        <v>82</v>
      </c>
      <c r="B27" s="27" t="s">
        <v>26</v>
      </c>
      <c r="C27" s="27" t="s">
        <v>81</v>
      </c>
      <c r="D27" s="28" t="n">
        <f aca="false">DATE(2026,1,1)-1767</f>
        <v>44256</v>
      </c>
      <c r="E27" s="29" t="s">
        <v>48</v>
      </c>
      <c r="F27" s="15" t="n">
        <v>4.7</v>
      </c>
      <c r="G27" s="30" t="n">
        <v>4.11</v>
      </c>
      <c r="H27" s="29" t="s">
        <v>42</v>
      </c>
      <c r="I27" s="31" t="n">
        <v>82683</v>
      </c>
    </row>
    <row r="28" customFormat="false" ht="19.5" hidden="false" customHeight="true" outlineLevel="0" collapsed="false">
      <c r="A28" s="20" t="s">
        <v>83</v>
      </c>
      <c r="B28" s="21" t="s">
        <v>18</v>
      </c>
      <c r="C28" s="21" t="s">
        <v>84</v>
      </c>
      <c r="D28" s="22" t="n">
        <f aca="false">DATE(2026,1,1)-144</f>
        <v>45879</v>
      </c>
      <c r="E28" s="23" t="s">
        <v>57</v>
      </c>
      <c r="F28" s="19" t="n">
        <v>6.5</v>
      </c>
      <c r="G28" s="24" t="n">
        <v>2.96</v>
      </c>
      <c r="H28" s="23" t="s">
        <v>9</v>
      </c>
      <c r="I28" s="25" t="n">
        <v>52643</v>
      </c>
    </row>
    <row r="29" customFormat="false" ht="19.5" hidden="false" customHeight="true" outlineLevel="0" collapsed="false">
      <c r="A29" s="26" t="s">
        <v>85</v>
      </c>
      <c r="B29" s="27" t="s">
        <v>22</v>
      </c>
      <c r="C29" s="27" t="s">
        <v>38</v>
      </c>
      <c r="D29" s="28" t="n">
        <f aca="false">DATE(2026,1,1)-1572</f>
        <v>44451</v>
      </c>
      <c r="E29" s="29" t="s">
        <v>39</v>
      </c>
      <c r="F29" s="15" t="n">
        <v>5.2</v>
      </c>
      <c r="G29" s="30" t="n">
        <v>4.29</v>
      </c>
      <c r="H29" s="29" t="s">
        <v>42</v>
      </c>
      <c r="I29" s="31" t="n">
        <v>83688</v>
      </c>
    </row>
    <row r="30" customFormat="false" ht="19.5" hidden="false" customHeight="true" outlineLevel="0" collapsed="false">
      <c r="A30" s="20" t="s">
        <v>86</v>
      </c>
      <c r="B30" s="21" t="s">
        <v>18</v>
      </c>
      <c r="C30" s="21" t="s">
        <v>66</v>
      </c>
      <c r="D30" s="22" t="n">
        <f aca="false">DATE(2026,1,1)-1676</f>
        <v>44347</v>
      </c>
      <c r="E30" s="23" t="s">
        <v>48</v>
      </c>
      <c r="F30" s="19" t="n">
        <v>6.4</v>
      </c>
      <c r="G30" s="24" t="n">
        <v>3.36</v>
      </c>
      <c r="H30" s="23" t="s">
        <v>9</v>
      </c>
      <c r="I30" s="25" t="n">
        <v>61838</v>
      </c>
    </row>
    <row r="31" customFormat="false" ht="19.5" hidden="false" customHeight="true" outlineLevel="0" collapsed="false">
      <c r="A31" s="26" t="s">
        <v>87</v>
      </c>
      <c r="B31" s="27" t="s">
        <v>18</v>
      </c>
      <c r="C31" s="27" t="s">
        <v>44</v>
      </c>
      <c r="D31" s="28" t="n">
        <f aca="false">DATE(2026,1,1)-1653</f>
        <v>44370</v>
      </c>
      <c r="E31" s="29" t="s">
        <v>48</v>
      </c>
      <c r="F31" s="15" t="n">
        <v>4.7</v>
      </c>
      <c r="G31" s="30" t="n">
        <v>4.3</v>
      </c>
      <c r="H31" s="29" t="s">
        <v>9</v>
      </c>
      <c r="I31" s="31" t="n">
        <v>77789</v>
      </c>
    </row>
    <row r="32" customFormat="false" ht="19.5" hidden="false" customHeight="true" outlineLevel="0" collapsed="false">
      <c r="A32" s="20" t="s">
        <v>88</v>
      </c>
      <c r="B32" s="21" t="s">
        <v>18</v>
      </c>
      <c r="C32" s="21" t="s">
        <v>44</v>
      </c>
      <c r="D32" s="22" t="n">
        <f aca="false">DATE(2026,1,1)-1957</f>
        <v>44066</v>
      </c>
      <c r="E32" s="23" t="s">
        <v>39</v>
      </c>
      <c r="F32" s="19" t="n">
        <v>6.8</v>
      </c>
      <c r="G32" s="24" t="n">
        <v>4.27</v>
      </c>
      <c r="H32" s="23" t="s">
        <v>9</v>
      </c>
      <c r="I32" s="25" t="n">
        <v>107806</v>
      </c>
    </row>
    <row r="33" customFormat="false" ht="19.5" hidden="false" customHeight="true" outlineLevel="0" collapsed="false">
      <c r="A33" s="26" t="s">
        <v>89</v>
      </c>
      <c r="B33" s="27" t="s">
        <v>24</v>
      </c>
      <c r="C33" s="27" t="s">
        <v>90</v>
      </c>
      <c r="D33" s="28" t="n">
        <f aca="false">DATE(2026,1,1)-2011</f>
        <v>44012</v>
      </c>
      <c r="E33" s="29" t="s">
        <v>63</v>
      </c>
      <c r="F33" s="15" t="n">
        <v>1.8</v>
      </c>
      <c r="G33" s="30" t="n">
        <v>2.96</v>
      </c>
      <c r="H33" s="29" t="s">
        <v>9</v>
      </c>
      <c r="I33" s="31" t="n">
        <v>105276</v>
      </c>
    </row>
    <row r="34" customFormat="false" ht="19.5" hidden="false" customHeight="true" outlineLevel="0" collapsed="false">
      <c r="A34" s="20" t="s">
        <v>91</v>
      </c>
      <c r="B34" s="21" t="s">
        <v>24</v>
      </c>
      <c r="C34" s="21" t="s">
        <v>59</v>
      </c>
      <c r="D34" s="22" t="n">
        <f aca="false">DATE(2026,1,1)-530</f>
        <v>45493</v>
      </c>
      <c r="E34" s="23" t="s">
        <v>60</v>
      </c>
      <c r="F34" s="19" t="n">
        <v>6.5</v>
      </c>
      <c r="G34" s="24" t="n">
        <v>2.95</v>
      </c>
      <c r="H34" s="23" t="s">
        <v>9</v>
      </c>
      <c r="I34" s="25" t="n">
        <v>119660</v>
      </c>
    </row>
    <row r="35" customFormat="false" ht="19.5" hidden="false" customHeight="true" outlineLevel="0" collapsed="false">
      <c r="A35" s="26" t="s">
        <v>92</v>
      </c>
      <c r="B35" s="27" t="s">
        <v>26</v>
      </c>
      <c r="C35" s="27" t="s">
        <v>81</v>
      </c>
      <c r="D35" s="28" t="n">
        <f aca="false">DATE(2026,1,1)-1187</f>
        <v>44836</v>
      </c>
      <c r="E35" s="29" t="s">
        <v>63</v>
      </c>
      <c r="F35" s="15" t="n">
        <v>0.6</v>
      </c>
      <c r="G35" s="30" t="n">
        <v>3.47</v>
      </c>
      <c r="H35" s="29" t="s">
        <v>9</v>
      </c>
      <c r="I35" s="31" t="n">
        <v>66755</v>
      </c>
    </row>
    <row r="36" customFormat="false" ht="19.5" hidden="false" customHeight="true" outlineLevel="0" collapsed="false">
      <c r="A36" s="20" t="s">
        <v>93</v>
      </c>
      <c r="B36" s="21" t="s">
        <v>18</v>
      </c>
      <c r="C36" s="21" t="s">
        <v>84</v>
      </c>
      <c r="D36" s="22" t="n">
        <f aca="false">DATE(2026,1,1)-254</f>
        <v>45769</v>
      </c>
      <c r="E36" s="23" t="s">
        <v>48</v>
      </c>
      <c r="F36" s="19" t="n">
        <v>0.8</v>
      </c>
      <c r="G36" s="24" t="n">
        <v>3.52</v>
      </c>
      <c r="H36" s="23" t="s">
        <v>9</v>
      </c>
      <c r="I36" s="25" t="n">
        <v>117779</v>
      </c>
    </row>
    <row r="37" customFormat="false" ht="19.5" hidden="false" customHeight="true" outlineLevel="0" collapsed="false">
      <c r="A37" s="26" t="s">
        <v>94</v>
      </c>
      <c r="B37" s="27" t="s">
        <v>27</v>
      </c>
      <c r="C37" s="27" t="s">
        <v>54</v>
      </c>
      <c r="D37" s="28" t="n">
        <f aca="false">DATE(2026,1,1)-709</f>
        <v>45314</v>
      </c>
      <c r="E37" s="29" t="s">
        <v>45</v>
      </c>
      <c r="F37" s="15" t="n">
        <v>3.8</v>
      </c>
      <c r="G37" s="30" t="n">
        <v>4.26</v>
      </c>
      <c r="H37" s="29" t="s">
        <v>9</v>
      </c>
      <c r="I37" s="31" t="n">
        <v>75094</v>
      </c>
    </row>
    <row r="38" customFormat="false" ht="19.5" hidden="false" customHeight="true" outlineLevel="0" collapsed="false">
      <c r="A38" s="20" t="s">
        <v>95</v>
      </c>
      <c r="B38" s="21" t="s">
        <v>27</v>
      </c>
      <c r="C38" s="21" t="s">
        <v>96</v>
      </c>
      <c r="D38" s="22" t="n">
        <f aca="false">DATE(2026,1,1)-539</f>
        <v>45484</v>
      </c>
      <c r="E38" s="23" t="s">
        <v>48</v>
      </c>
      <c r="F38" s="19" t="n">
        <v>1.8</v>
      </c>
      <c r="G38" s="24" t="n">
        <v>3.38</v>
      </c>
      <c r="H38" s="23" t="s">
        <v>9</v>
      </c>
      <c r="I38" s="25" t="n">
        <v>54259</v>
      </c>
    </row>
    <row r="39" customFormat="false" ht="19.5" hidden="false" customHeight="true" outlineLevel="0" collapsed="false">
      <c r="A39" s="26" t="s">
        <v>97</v>
      </c>
      <c r="B39" s="27" t="s">
        <v>24</v>
      </c>
      <c r="C39" s="27" t="s">
        <v>59</v>
      </c>
      <c r="D39" s="28" t="n">
        <f aca="false">DATE(2026,1,1)-771</f>
        <v>45252</v>
      </c>
      <c r="E39" s="29" t="s">
        <v>63</v>
      </c>
      <c r="F39" s="15" t="n">
        <v>3.2</v>
      </c>
      <c r="G39" s="30" t="n">
        <v>4.82</v>
      </c>
      <c r="H39" s="29" t="s">
        <v>9</v>
      </c>
      <c r="I39" s="31" t="n">
        <v>55677</v>
      </c>
    </row>
    <row r="40" customFormat="false" ht="19.5" hidden="false" customHeight="true" outlineLevel="0" collapsed="false">
      <c r="A40" s="20" t="s">
        <v>98</v>
      </c>
      <c r="B40" s="21" t="s">
        <v>26</v>
      </c>
      <c r="C40" s="21" t="s">
        <v>81</v>
      </c>
      <c r="D40" s="22" t="n">
        <f aca="false">DATE(2026,1,1)-525</f>
        <v>45498</v>
      </c>
      <c r="E40" s="23" t="s">
        <v>63</v>
      </c>
      <c r="F40" s="19" t="n">
        <v>1.4</v>
      </c>
      <c r="G40" s="24" t="n">
        <v>3.09</v>
      </c>
      <c r="H40" s="23" t="s">
        <v>9</v>
      </c>
      <c r="I40" s="25" t="n">
        <v>56338</v>
      </c>
    </row>
    <row r="41" customFormat="false" ht="19.5" hidden="false" customHeight="true" outlineLevel="0" collapsed="false">
      <c r="A41" s="26" t="s">
        <v>99</v>
      </c>
      <c r="B41" s="27" t="s">
        <v>16</v>
      </c>
      <c r="C41" s="27" t="s">
        <v>100</v>
      </c>
      <c r="D41" s="28" t="n">
        <f aca="false">DATE(2026,1,1)-1613</f>
        <v>44410</v>
      </c>
      <c r="E41" s="29" t="s">
        <v>52</v>
      </c>
      <c r="F41" s="15" t="n">
        <v>3.2</v>
      </c>
      <c r="G41" s="30" t="n">
        <v>4.44</v>
      </c>
      <c r="H41" s="29" t="s">
        <v>9</v>
      </c>
      <c r="I41" s="31" t="n">
        <v>125607</v>
      </c>
    </row>
    <row r="42" customFormat="false" ht="19.5" hidden="false" customHeight="true" outlineLevel="0" collapsed="false">
      <c r="A42" s="20" t="s">
        <v>101</v>
      </c>
      <c r="B42" s="21" t="s">
        <v>24</v>
      </c>
      <c r="C42" s="21" t="s">
        <v>90</v>
      </c>
      <c r="D42" s="22" t="n">
        <f aca="false">DATE(2026,1,1)-719</f>
        <v>45304</v>
      </c>
      <c r="E42" s="23" t="s">
        <v>60</v>
      </c>
      <c r="F42" s="19" t="n">
        <v>6.3</v>
      </c>
      <c r="G42" s="24" t="n">
        <v>4.68</v>
      </c>
      <c r="H42" s="23" t="s">
        <v>9</v>
      </c>
      <c r="I42" s="25" t="n">
        <v>69640</v>
      </c>
    </row>
    <row r="43" customFormat="false" ht="19.5" hidden="false" customHeight="true" outlineLevel="0" collapsed="false">
      <c r="A43" s="26" t="s">
        <v>102</v>
      </c>
      <c r="B43" s="27" t="s">
        <v>20</v>
      </c>
      <c r="C43" s="27" t="s">
        <v>47</v>
      </c>
      <c r="D43" s="28" t="n">
        <f aca="false">DATE(2026,1,1)-515</f>
        <v>45508</v>
      </c>
      <c r="E43" s="29" t="s">
        <v>52</v>
      </c>
      <c r="F43" s="15" t="n">
        <v>4.2</v>
      </c>
      <c r="G43" s="30" t="n">
        <v>4.83</v>
      </c>
      <c r="H43" s="29" t="s">
        <v>9</v>
      </c>
      <c r="I43" s="31" t="n">
        <v>75289</v>
      </c>
    </row>
    <row r="44" customFormat="false" ht="19.5" hidden="false" customHeight="true" outlineLevel="0" collapsed="false">
      <c r="A44" s="20" t="s">
        <v>103</v>
      </c>
      <c r="B44" s="21" t="s">
        <v>22</v>
      </c>
      <c r="C44" s="21" t="s">
        <v>56</v>
      </c>
      <c r="D44" s="22" t="n">
        <f aca="false">DATE(2026,1,1)-457</f>
        <v>45566</v>
      </c>
      <c r="E44" s="23" t="s">
        <v>45</v>
      </c>
      <c r="F44" s="19" t="n">
        <v>6.5</v>
      </c>
      <c r="G44" s="24" t="n">
        <v>3.29</v>
      </c>
      <c r="H44" s="23" t="s">
        <v>9</v>
      </c>
      <c r="I44" s="25" t="n">
        <v>141076</v>
      </c>
    </row>
    <row r="45" customFormat="false" ht="19.5" hidden="false" customHeight="true" outlineLevel="0" collapsed="false">
      <c r="A45" s="26" t="s">
        <v>104</v>
      </c>
      <c r="B45" s="27" t="s">
        <v>27</v>
      </c>
      <c r="C45" s="27" t="s">
        <v>72</v>
      </c>
      <c r="D45" s="28" t="n">
        <f aca="false">DATE(2026,1,1)-388</f>
        <v>45635</v>
      </c>
      <c r="E45" s="29" t="s">
        <v>45</v>
      </c>
      <c r="F45" s="15" t="n">
        <v>1.7</v>
      </c>
      <c r="G45" s="30" t="n">
        <v>4.67</v>
      </c>
      <c r="H45" s="29" t="s">
        <v>9</v>
      </c>
      <c r="I45" s="31" t="n">
        <v>103186</v>
      </c>
    </row>
    <row r="46" customFormat="false" ht="19.5" hidden="false" customHeight="true" outlineLevel="0" collapsed="false">
      <c r="A46" s="20" t="s">
        <v>105</v>
      </c>
      <c r="B46" s="21" t="s">
        <v>20</v>
      </c>
      <c r="C46" s="21" t="s">
        <v>38</v>
      </c>
      <c r="D46" s="22" t="n">
        <f aca="false">DATE(2026,1,1)-1343</f>
        <v>44680</v>
      </c>
      <c r="E46" s="23" t="s">
        <v>39</v>
      </c>
      <c r="F46" s="19" t="n">
        <v>0.8</v>
      </c>
      <c r="G46" s="24" t="n">
        <v>3.63</v>
      </c>
      <c r="H46" s="23" t="s">
        <v>9</v>
      </c>
      <c r="I46" s="25" t="n">
        <v>65817</v>
      </c>
    </row>
    <row r="47" customFormat="false" ht="19.5" hidden="false" customHeight="true" outlineLevel="0" collapsed="false">
      <c r="A47" s="26" t="s">
        <v>106</v>
      </c>
      <c r="B47" s="27" t="s">
        <v>18</v>
      </c>
      <c r="C47" s="27" t="s">
        <v>66</v>
      </c>
      <c r="D47" s="28" t="n">
        <f aca="false">DATE(2026,1,1)-1229</f>
        <v>44794</v>
      </c>
      <c r="E47" s="29" t="s">
        <v>45</v>
      </c>
      <c r="F47" s="15" t="n">
        <v>4.7</v>
      </c>
      <c r="G47" s="30" t="n">
        <v>3.41</v>
      </c>
      <c r="H47" s="29" t="s">
        <v>9</v>
      </c>
      <c r="I47" s="31" t="n">
        <v>101032</v>
      </c>
    </row>
    <row r="48" customFormat="false" ht="19.5" hidden="false" customHeight="true" outlineLevel="0" collapsed="false">
      <c r="A48" s="20" t="s">
        <v>107</v>
      </c>
      <c r="B48" s="21" t="s">
        <v>27</v>
      </c>
      <c r="C48" s="21" t="s">
        <v>96</v>
      </c>
      <c r="D48" s="22" t="n">
        <f aca="false">DATE(2026,1,1)-225</f>
        <v>45798</v>
      </c>
      <c r="E48" s="23" t="s">
        <v>60</v>
      </c>
      <c r="F48" s="19" t="n">
        <v>1.7</v>
      </c>
      <c r="G48" s="24" t="n">
        <v>4.24</v>
      </c>
      <c r="H48" s="23" t="s">
        <v>9</v>
      </c>
      <c r="I48" s="25" t="n">
        <v>132030</v>
      </c>
    </row>
    <row r="49" customFormat="false" ht="19.5" hidden="false" customHeight="true" outlineLevel="0" collapsed="false">
      <c r="A49" s="26" t="s">
        <v>108</v>
      </c>
      <c r="B49" s="27" t="s">
        <v>20</v>
      </c>
      <c r="C49" s="27" t="s">
        <v>47</v>
      </c>
      <c r="D49" s="28" t="n">
        <f aca="false">DATE(2026,1,1)-1602</f>
        <v>44421</v>
      </c>
      <c r="E49" s="29" t="s">
        <v>45</v>
      </c>
      <c r="F49" s="15" t="n">
        <v>2.5</v>
      </c>
      <c r="G49" s="30" t="n">
        <v>3.28</v>
      </c>
      <c r="H49" s="29" t="s">
        <v>9</v>
      </c>
      <c r="I49" s="31" t="n">
        <v>135915</v>
      </c>
    </row>
    <row r="50" customFormat="false" ht="19.5" hidden="false" customHeight="true" outlineLevel="0" collapsed="false">
      <c r="A50" s="20" t="s">
        <v>109</v>
      </c>
      <c r="B50" s="21" t="s">
        <v>26</v>
      </c>
      <c r="C50" s="21" t="s">
        <v>110</v>
      </c>
      <c r="D50" s="22" t="n">
        <f aca="false">DATE(2026,1,1)-1242</f>
        <v>44781</v>
      </c>
      <c r="E50" s="23" t="s">
        <v>63</v>
      </c>
      <c r="F50" s="19" t="n">
        <v>3.5</v>
      </c>
      <c r="G50" s="24" t="n">
        <v>3.88</v>
      </c>
      <c r="H50" s="23" t="s">
        <v>9</v>
      </c>
      <c r="I50" s="25" t="n">
        <v>67826</v>
      </c>
    </row>
    <row r="51" customFormat="false" ht="19.5" hidden="false" customHeight="true" outlineLevel="0" collapsed="false">
      <c r="A51" s="26" t="s">
        <v>111</v>
      </c>
      <c r="B51" s="27" t="s">
        <v>24</v>
      </c>
      <c r="C51" s="27" t="s">
        <v>47</v>
      </c>
      <c r="D51" s="28" t="n">
        <f aca="false">DATE(2026,1,1)-283</f>
        <v>45740</v>
      </c>
      <c r="E51" s="29" t="s">
        <v>52</v>
      </c>
      <c r="F51" s="15" t="n">
        <v>2.3</v>
      </c>
      <c r="G51" s="30" t="n">
        <v>3.35</v>
      </c>
      <c r="H51" s="29" t="s">
        <v>42</v>
      </c>
      <c r="I51" s="31" t="n">
        <v>57315</v>
      </c>
    </row>
    <row r="52" customFormat="false" ht="19.5" hidden="false" customHeight="true" outlineLevel="0" collapsed="false">
      <c r="A52" s="20" t="s">
        <v>112</v>
      </c>
      <c r="B52" s="21" t="s">
        <v>22</v>
      </c>
      <c r="C52" s="21" t="s">
        <v>50</v>
      </c>
      <c r="D52" s="22" t="n">
        <f aca="false">DATE(2026,1,1)-177</f>
        <v>45846</v>
      </c>
      <c r="E52" s="23" t="s">
        <v>45</v>
      </c>
      <c r="F52" s="19" t="n">
        <v>2</v>
      </c>
      <c r="G52" s="24" t="n">
        <v>4.69</v>
      </c>
      <c r="H52" s="23" t="s">
        <v>9</v>
      </c>
      <c r="I52" s="25" t="n">
        <v>127478</v>
      </c>
    </row>
    <row r="53" customFormat="false" ht="19.5" hidden="false" customHeight="true" outlineLevel="0" collapsed="false">
      <c r="A53" s="26" t="s">
        <v>113</v>
      </c>
      <c r="B53" s="27" t="s">
        <v>20</v>
      </c>
      <c r="C53" s="27" t="s">
        <v>47</v>
      </c>
      <c r="D53" s="28" t="n">
        <f aca="false">DATE(2026,1,1)-1102</f>
        <v>44921</v>
      </c>
      <c r="E53" s="29" t="s">
        <v>52</v>
      </c>
      <c r="F53" s="15" t="n">
        <v>4.8</v>
      </c>
      <c r="G53" s="30" t="n">
        <v>3.7</v>
      </c>
      <c r="H53" s="29" t="s">
        <v>9</v>
      </c>
      <c r="I53" s="31" t="n">
        <v>129354</v>
      </c>
    </row>
    <row r="54" customFormat="false" ht="19.5" hidden="false" customHeight="true" outlineLevel="0" collapsed="false">
      <c r="A54" s="20" t="s">
        <v>114</v>
      </c>
      <c r="B54" s="21" t="s">
        <v>16</v>
      </c>
      <c r="C54" s="21" t="s">
        <v>100</v>
      </c>
      <c r="D54" s="22" t="n">
        <f aca="false">DATE(2026,1,1)-1681</f>
        <v>44342</v>
      </c>
      <c r="E54" s="23" t="s">
        <v>48</v>
      </c>
      <c r="F54" s="19" t="n">
        <v>1.1</v>
      </c>
      <c r="G54" s="24" t="n">
        <v>4.04</v>
      </c>
      <c r="H54" s="23" t="s">
        <v>9</v>
      </c>
      <c r="I54" s="25" t="n">
        <v>101972</v>
      </c>
    </row>
    <row r="55" customFormat="false" ht="19.5" hidden="false" customHeight="true" outlineLevel="0" collapsed="false">
      <c r="A55" s="26" t="s">
        <v>115</v>
      </c>
      <c r="B55" s="27" t="s">
        <v>18</v>
      </c>
      <c r="C55" s="27" t="s">
        <v>44</v>
      </c>
      <c r="D55" s="28" t="n">
        <f aca="false">DATE(2026,1,1)-432</f>
        <v>45591</v>
      </c>
      <c r="E55" s="29" t="s">
        <v>60</v>
      </c>
      <c r="F55" s="15" t="n">
        <v>4.3</v>
      </c>
      <c r="G55" s="30" t="n">
        <v>3.29</v>
      </c>
      <c r="H55" s="29" t="s">
        <v>42</v>
      </c>
      <c r="I55" s="31" t="n">
        <v>108522</v>
      </c>
    </row>
    <row r="56" customFormat="false" ht="19.5" hidden="false" customHeight="true" outlineLevel="0" collapsed="false">
      <c r="A56" s="20" t="s">
        <v>116</v>
      </c>
      <c r="B56" s="21" t="s">
        <v>18</v>
      </c>
      <c r="C56" s="21" t="s">
        <v>84</v>
      </c>
      <c r="D56" s="22" t="n">
        <f aca="false">DATE(2026,1,1)-471</f>
        <v>45552</v>
      </c>
      <c r="E56" s="23" t="s">
        <v>48</v>
      </c>
      <c r="F56" s="19" t="n">
        <v>5.1</v>
      </c>
      <c r="G56" s="24" t="n">
        <v>4.7</v>
      </c>
      <c r="H56" s="23" t="s">
        <v>9</v>
      </c>
      <c r="I56" s="25" t="n">
        <v>62644</v>
      </c>
    </row>
    <row r="57" customFormat="false" ht="19.5" hidden="false" customHeight="true" outlineLevel="0" collapsed="false">
      <c r="A57" s="26" t="s">
        <v>117</v>
      </c>
      <c r="B57" s="27" t="s">
        <v>22</v>
      </c>
      <c r="C57" s="27" t="s">
        <v>56</v>
      </c>
      <c r="D57" s="28" t="n">
        <f aca="false">DATE(2026,1,1)-1077</f>
        <v>44946</v>
      </c>
      <c r="E57" s="29" t="s">
        <v>52</v>
      </c>
      <c r="F57" s="15" t="n">
        <v>6.8</v>
      </c>
      <c r="G57" s="30" t="n">
        <v>3.34</v>
      </c>
      <c r="H57" s="29" t="s">
        <v>9</v>
      </c>
      <c r="I57" s="31" t="n">
        <v>133113</v>
      </c>
    </row>
    <row r="58" customFormat="false" ht="19.5" hidden="false" customHeight="true" outlineLevel="0" collapsed="false">
      <c r="A58" s="20" t="s">
        <v>118</v>
      </c>
      <c r="B58" s="21" t="s">
        <v>27</v>
      </c>
      <c r="C58" s="21" t="s">
        <v>72</v>
      </c>
      <c r="D58" s="22" t="n">
        <f aca="false">DATE(2026,1,1)-376</f>
        <v>45647</v>
      </c>
      <c r="E58" s="23" t="s">
        <v>52</v>
      </c>
      <c r="F58" s="19" t="n">
        <v>2.3</v>
      </c>
      <c r="G58" s="24" t="n">
        <v>3.28</v>
      </c>
      <c r="H58" s="23" t="s">
        <v>9</v>
      </c>
      <c r="I58" s="25" t="n">
        <v>96829</v>
      </c>
    </row>
    <row r="59" customFormat="false" ht="19.5" hidden="false" customHeight="true" outlineLevel="0" collapsed="false">
      <c r="A59" s="26" t="s">
        <v>119</v>
      </c>
      <c r="B59" s="27" t="s">
        <v>24</v>
      </c>
      <c r="C59" s="27" t="s">
        <v>90</v>
      </c>
      <c r="D59" s="28" t="n">
        <f aca="false">DATE(2026,1,1)-356</f>
        <v>45667</v>
      </c>
      <c r="E59" s="29" t="s">
        <v>52</v>
      </c>
      <c r="F59" s="15" t="n">
        <v>2.4</v>
      </c>
      <c r="G59" s="30" t="n">
        <v>4.41</v>
      </c>
      <c r="H59" s="29" t="s">
        <v>9</v>
      </c>
      <c r="I59" s="31" t="n">
        <v>109971</v>
      </c>
    </row>
    <row r="60" customFormat="false" ht="19.5" hidden="false" customHeight="true" outlineLevel="0" collapsed="false">
      <c r="A60" s="20" t="s">
        <v>120</v>
      </c>
      <c r="B60" s="21" t="s">
        <v>18</v>
      </c>
      <c r="C60" s="21" t="s">
        <v>66</v>
      </c>
      <c r="D60" s="22" t="n">
        <f aca="false">DATE(2026,1,1)-181</f>
        <v>45842</v>
      </c>
      <c r="E60" s="23" t="s">
        <v>57</v>
      </c>
      <c r="F60" s="19" t="n">
        <v>3.8</v>
      </c>
      <c r="G60" s="24" t="n">
        <v>3.46</v>
      </c>
      <c r="H60" s="23" t="s">
        <v>9</v>
      </c>
      <c r="I60" s="25" t="n">
        <v>131906</v>
      </c>
    </row>
    <row r="61" customFormat="false" ht="19.5" hidden="false" customHeight="true" outlineLevel="0" collapsed="false">
      <c r="A61" s="26" t="s">
        <v>121</v>
      </c>
      <c r="B61" s="27" t="s">
        <v>20</v>
      </c>
      <c r="C61" s="27" t="s">
        <v>47</v>
      </c>
      <c r="D61" s="28" t="n">
        <f aca="false">DATE(2026,1,1)-1158</f>
        <v>44865</v>
      </c>
      <c r="E61" s="29" t="s">
        <v>63</v>
      </c>
      <c r="F61" s="15" t="n">
        <v>2.4</v>
      </c>
      <c r="G61" s="30" t="n">
        <v>4.01</v>
      </c>
      <c r="H61" s="29" t="s">
        <v>9</v>
      </c>
      <c r="I61" s="31" t="n">
        <v>70721</v>
      </c>
    </row>
    <row r="62" customFormat="false" ht="19.5" hidden="false" customHeight="true" outlineLevel="0" collapsed="false">
      <c r="A62" s="20" t="s">
        <v>122</v>
      </c>
      <c r="B62" s="21" t="s">
        <v>26</v>
      </c>
      <c r="C62" s="21" t="s">
        <v>41</v>
      </c>
      <c r="D62" s="22" t="n">
        <f aca="false">DATE(2026,1,1)-527</f>
        <v>45496</v>
      </c>
      <c r="E62" s="23" t="s">
        <v>52</v>
      </c>
      <c r="F62" s="19" t="n">
        <v>3.1</v>
      </c>
      <c r="G62" s="24" t="n">
        <v>3.1</v>
      </c>
      <c r="H62" s="23" t="s">
        <v>9</v>
      </c>
      <c r="I62" s="25" t="n">
        <v>114580</v>
      </c>
    </row>
    <row r="63" customFormat="false" ht="19.5" hidden="false" customHeight="true" outlineLevel="0" collapsed="false">
      <c r="A63" s="26" t="s">
        <v>123</v>
      </c>
      <c r="B63" s="27" t="s">
        <v>20</v>
      </c>
      <c r="C63" s="27" t="s">
        <v>47</v>
      </c>
      <c r="D63" s="28" t="n">
        <f aca="false">DATE(2026,1,1)-1913</f>
        <v>44110</v>
      </c>
      <c r="E63" s="29" t="s">
        <v>57</v>
      </c>
      <c r="F63" s="15" t="n">
        <v>7.6</v>
      </c>
      <c r="G63" s="30" t="n">
        <v>2.86</v>
      </c>
      <c r="H63" s="29" t="s">
        <v>9</v>
      </c>
      <c r="I63" s="31" t="n">
        <v>63499</v>
      </c>
    </row>
    <row r="64" customFormat="false" ht="19.5" hidden="false" customHeight="true" outlineLevel="0" collapsed="false">
      <c r="A64" s="20" t="s">
        <v>124</v>
      </c>
      <c r="B64" s="21" t="s">
        <v>24</v>
      </c>
      <c r="C64" s="21" t="s">
        <v>59</v>
      </c>
      <c r="D64" s="22" t="n">
        <f aca="false">DATE(2026,1,1)-1614</f>
        <v>44409</v>
      </c>
      <c r="E64" s="23" t="s">
        <v>57</v>
      </c>
      <c r="F64" s="19" t="n">
        <v>3.2</v>
      </c>
      <c r="G64" s="24" t="n">
        <v>3.47</v>
      </c>
      <c r="H64" s="23" t="s">
        <v>9</v>
      </c>
      <c r="I64" s="25" t="n">
        <v>77107</v>
      </c>
    </row>
    <row r="65" customFormat="false" ht="19.5" hidden="false" customHeight="true" outlineLevel="0" collapsed="false">
      <c r="A65" s="26" t="s">
        <v>125</v>
      </c>
      <c r="B65" s="27" t="s">
        <v>24</v>
      </c>
      <c r="C65" s="27" t="s">
        <v>59</v>
      </c>
      <c r="D65" s="28" t="n">
        <f aca="false">DATE(2026,1,1)-363</f>
        <v>45660</v>
      </c>
      <c r="E65" s="29" t="s">
        <v>57</v>
      </c>
      <c r="F65" s="15" t="n">
        <v>0.7</v>
      </c>
      <c r="G65" s="30" t="n">
        <v>3.24</v>
      </c>
      <c r="H65" s="29" t="s">
        <v>9</v>
      </c>
      <c r="I65" s="31" t="n">
        <v>126360</v>
      </c>
    </row>
    <row r="66" customFormat="false" ht="19.5" hidden="false" customHeight="true" outlineLevel="0" collapsed="false">
      <c r="A66" s="20" t="s">
        <v>126</v>
      </c>
      <c r="B66" s="21" t="s">
        <v>20</v>
      </c>
      <c r="C66" s="21" t="s">
        <v>47</v>
      </c>
      <c r="D66" s="22" t="n">
        <f aca="false">DATE(2026,1,1)-63</f>
        <v>45960</v>
      </c>
      <c r="E66" s="23" t="s">
        <v>48</v>
      </c>
      <c r="F66" s="19" t="n">
        <v>1.4</v>
      </c>
      <c r="G66" s="24" t="n">
        <v>3.72</v>
      </c>
      <c r="H66" s="23" t="s">
        <v>9</v>
      </c>
      <c r="I66" s="25" t="n">
        <v>110164</v>
      </c>
    </row>
    <row r="67" customFormat="false" ht="19.5" hidden="false" customHeight="true" outlineLevel="0" collapsed="false">
      <c r="A67" s="26" t="s">
        <v>127</v>
      </c>
      <c r="B67" s="27" t="s">
        <v>22</v>
      </c>
      <c r="C67" s="27" t="s">
        <v>56</v>
      </c>
      <c r="D67" s="28" t="n">
        <f aca="false">DATE(2026,1,1)-1599</f>
        <v>44424</v>
      </c>
      <c r="E67" s="29" t="s">
        <v>45</v>
      </c>
      <c r="F67" s="15" t="n">
        <v>4.7</v>
      </c>
      <c r="G67" s="30" t="n">
        <v>4.15</v>
      </c>
      <c r="H67" s="29" t="s">
        <v>9</v>
      </c>
      <c r="I67" s="31" t="n">
        <v>138333</v>
      </c>
    </row>
    <row r="68" customFormat="false" ht="19.5" hidden="false" customHeight="true" outlineLevel="0" collapsed="false">
      <c r="A68" s="20" t="s">
        <v>128</v>
      </c>
      <c r="B68" s="21" t="s">
        <v>20</v>
      </c>
      <c r="C68" s="21" t="s">
        <v>47</v>
      </c>
      <c r="D68" s="22" t="n">
        <f aca="false">DATE(2026,1,1)-1179</f>
        <v>44844</v>
      </c>
      <c r="E68" s="23" t="s">
        <v>39</v>
      </c>
      <c r="F68" s="19" t="n">
        <v>2.3</v>
      </c>
      <c r="G68" s="24" t="n">
        <v>4.75</v>
      </c>
      <c r="H68" s="23" t="s">
        <v>9</v>
      </c>
      <c r="I68" s="25" t="n">
        <v>80004</v>
      </c>
    </row>
    <row r="69" customFormat="false" ht="19.5" hidden="false" customHeight="true" outlineLevel="0" collapsed="false">
      <c r="A69" s="26" t="s">
        <v>129</v>
      </c>
      <c r="B69" s="27" t="s">
        <v>20</v>
      </c>
      <c r="C69" s="27" t="s">
        <v>78</v>
      </c>
      <c r="D69" s="28" t="n">
        <f aca="false">DATE(2026,1,1)-479</f>
        <v>45544</v>
      </c>
      <c r="E69" s="29" t="s">
        <v>60</v>
      </c>
      <c r="F69" s="15" t="n">
        <v>7.1</v>
      </c>
      <c r="G69" s="30" t="n">
        <v>4.1</v>
      </c>
      <c r="H69" s="29" t="s">
        <v>9</v>
      </c>
      <c r="I69" s="31" t="n">
        <v>72871</v>
      </c>
    </row>
    <row r="70" customFormat="false" ht="19.5" hidden="false" customHeight="true" outlineLevel="0" collapsed="false">
      <c r="A70" s="20" t="s">
        <v>130</v>
      </c>
      <c r="B70" s="21" t="s">
        <v>22</v>
      </c>
      <c r="C70" s="21" t="s">
        <v>56</v>
      </c>
      <c r="D70" s="22" t="n">
        <f aca="false">DATE(2026,1,1)-1881</f>
        <v>44142</v>
      </c>
      <c r="E70" s="23" t="s">
        <v>39</v>
      </c>
      <c r="F70" s="19" t="n">
        <v>0.6</v>
      </c>
      <c r="G70" s="24" t="n">
        <v>4.36</v>
      </c>
      <c r="H70" s="23" t="s">
        <v>9</v>
      </c>
      <c r="I70" s="25" t="n">
        <v>95256</v>
      </c>
    </row>
    <row r="71" customFormat="false" ht="19.5" hidden="false" customHeight="true" outlineLevel="0" collapsed="false">
      <c r="A71" s="26" t="s">
        <v>131</v>
      </c>
      <c r="B71" s="27" t="s">
        <v>16</v>
      </c>
      <c r="C71" s="27" t="s">
        <v>100</v>
      </c>
      <c r="D71" s="28" t="n">
        <f aca="false">DATE(2026,1,1)-132</f>
        <v>45891</v>
      </c>
      <c r="E71" s="29" t="s">
        <v>60</v>
      </c>
      <c r="F71" s="15" t="n">
        <v>4.2</v>
      </c>
      <c r="G71" s="30" t="n">
        <v>4.78</v>
      </c>
      <c r="H71" s="29" t="s">
        <v>9</v>
      </c>
      <c r="I71" s="31" t="n">
        <v>100812</v>
      </c>
    </row>
    <row r="72" customFormat="false" ht="19.5" hidden="false" customHeight="true" outlineLevel="0" collapsed="false">
      <c r="A72" s="20" t="s">
        <v>132</v>
      </c>
      <c r="B72" s="21" t="s">
        <v>27</v>
      </c>
      <c r="C72" s="21" t="s">
        <v>54</v>
      </c>
      <c r="D72" s="22" t="n">
        <f aca="false">DATE(2026,1,1)-2147</f>
        <v>43876</v>
      </c>
      <c r="E72" s="23" t="s">
        <v>52</v>
      </c>
      <c r="F72" s="19" t="n">
        <v>5</v>
      </c>
      <c r="G72" s="24" t="n">
        <v>3.92</v>
      </c>
      <c r="H72" s="23" t="s">
        <v>9</v>
      </c>
      <c r="I72" s="25" t="n">
        <v>82556</v>
      </c>
    </row>
    <row r="73" customFormat="false" ht="19.5" hidden="false" customHeight="true" outlineLevel="0" collapsed="false">
      <c r="A73" s="26" t="s">
        <v>133</v>
      </c>
      <c r="B73" s="27" t="s">
        <v>22</v>
      </c>
      <c r="C73" s="27" t="s">
        <v>50</v>
      </c>
      <c r="D73" s="28" t="n">
        <f aca="false">DATE(2026,1,1)-339</f>
        <v>45684</v>
      </c>
      <c r="E73" s="29" t="s">
        <v>39</v>
      </c>
      <c r="F73" s="15" t="n">
        <v>7.4</v>
      </c>
      <c r="G73" s="30" t="n">
        <v>3.75</v>
      </c>
      <c r="H73" s="29" t="s">
        <v>9</v>
      </c>
      <c r="I73" s="31" t="n">
        <v>89366</v>
      </c>
    </row>
    <row r="74" customFormat="false" ht="19.5" hidden="false" customHeight="true" outlineLevel="0" collapsed="false">
      <c r="A74" s="20" t="s">
        <v>134</v>
      </c>
      <c r="B74" s="21" t="s">
        <v>24</v>
      </c>
      <c r="C74" s="21" t="s">
        <v>59</v>
      </c>
      <c r="D74" s="22" t="n">
        <f aca="false">DATE(2026,1,1)-141</f>
        <v>45882</v>
      </c>
      <c r="E74" s="23" t="s">
        <v>57</v>
      </c>
      <c r="F74" s="19" t="n">
        <v>4.7</v>
      </c>
      <c r="G74" s="24" t="n">
        <v>4.13</v>
      </c>
      <c r="H74" s="23" t="s">
        <v>9</v>
      </c>
      <c r="I74" s="25" t="n">
        <v>70214</v>
      </c>
    </row>
    <row r="75" customFormat="false" ht="19.5" hidden="false" customHeight="true" outlineLevel="0" collapsed="false">
      <c r="A75" s="26" t="s">
        <v>135</v>
      </c>
      <c r="B75" s="27" t="s">
        <v>22</v>
      </c>
      <c r="C75" s="27" t="s">
        <v>56</v>
      </c>
      <c r="D75" s="28" t="n">
        <f aca="false">DATE(2026,1,1)-132</f>
        <v>45891</v>
      </c>
      <c r="E75" s="29" t="s">
        <v>57</v>
      </c>
      <c r="F75" s="15" t="n">
        <v>1.4</v>
      </c>
      <c r="G75" s="30" t="n">
        <v>3.47</v>
      </c>
      <c r="H75" s="29" t="s">
        <v>9</v>
      </c>
      <c r="I75" s="31" t="n">
        <v>132525</v>
      </c>
    </row>
    <row r="76" customFormat="false" ht="19.5" hidden="false" customHeight="true" outlineLevel="0" collapsed="false">
      <c r="A76" s="20" t="s">
        <v>136</v>
      </c>
      <c r="B76" s="21" t="s">
        <v>26</v>
      </c>
      <c r="C76" s="21" t="s">
        <v>110</v>
      </c>
      <c r="D76" s="22" t="n">
        <f aca="false">DATE(2026,1,1)-112</f>
        <v>45911</v>
      </c>
      <c r="E76" s="23" t="s">
        <v>48</v>
      </c>
      <c r="F76" s="19" t="n">
        <v>6.7</v>
      </c>
      <c r="G76" s="24" t="n">
        <v>4.65</v>
      </c>
      <c r="H76" s="23" t="s">
        <v>9</v>
      </c>
      <c r="I76" s="25" t="n">
        <v>62673</v>
      </c>
    </row>
    <row r="77" customFormat="false" ht="19.5" hidden="false" customHeight="true" outlineLevel="0" collapsed="false">
      <c r="A77" s="26" t="s">
        <v>137</v>
      </c>
      <c r="B77" s="27" t="s">
        <v>27</v>
      </c>
      <c r="C77" s="27" t="s">
        <v>72</v>
      </c>
      <c r="D77" s="28" t="n">
        <f aca="false">DATE(2026,1,1)-1234</f>
        <v>44789</v>
      </c>
      <c r="E77" s="29" t="s">
        <v>52</v>
      </c>
      <c r="F77" s="15" t="n">
        <v>5.8</v>
      </c>
      <c r="G77" s="30" t="n">
        <v>3.02</v>
      </c>
      <c r="H77" s="29" t="s">
        <v>9</v>
      </c>
      <c r="I77" s="31" t="n">
        <v>143534</v>
      </c>
    </row>
    <row r="78" customFormat="false" ht="19.5" hidden="false" customHeight="true" outlineLevel="0" collapsed="false">
      <c r="A78" s="20" t="s">
        <v>138</v>
      </c>
      <c r="B78" s="21" t="s">
        <v>22</v>
      </c>
      <c r="C78" s="21" t="s">
        <v>38</v>
      </c>
      <c r="D78" s="22" t="n">
        <f aca="false">DATE(2026,1,1)-454</f>
        <v>45569</v>
      </c>
      <c r="E78" s="23" t="s">
        <v>57</v>
      </c>
      <c r="F78" s="19" t="n">
        <v>2.5</v>
      </c>
      <c r="G78" s="24" t="n">
        <v>3.91</v>
      </c>
      <c r="H78" s="23" t="s">
        <v>9</v>
      </c>
      <c r="I78" s="25" t="n">
        <v>140317</v>
      </c>
    </row>
    <row r="79" customFormat="false" ht="19.5" hidden="false" customHeight="true" outlineLevel="0" collapsed="false">
      <c r="A79" s="26" t="s">
        <v>139</v>
      </c>
      <c r="B79" s="27" t="s">
        <v>18</v>
      </c>
      <c r="C79" s="27" t="s">
        <v>44</v>
      </c>
      <c r="D79" s="28" t="n">
        <f aca="false">DATE(2026,1,1)-566</f>
        <v>45457</v>
      </c>
      <c r="E79" s="29" t="s">
        <v>57</v>
      </c>
      <c r="F79" s="15" t="n">
        <v>6.1</v>
      </c>
      <c r="G79" s="30" t="n">
        <v>4.54</v>
      </c>
      <c r="H79" s="29" t="s">
        <v>9</v>
      </c>
      <c r="I79" s="31" t="n">
        <v>107057</v>
      </c>
    </row>
    <row r="80" customFormat="false" ht="19.5" hidden="false" customHeight="true" outlineLevel="0" collapsed="false">
      <c r="A80" s="20" t="s">
        <v>140</v>
      </c>
      <c r="B80" s="21" t="s">
        <v>22</v>
      </c>
      <c r="C80" s="21" t="s">
        <v>50</v>
      </c>
      <c r="D80" s="22" t="n">
        <f aca="false">DATE(2026,1,1)-1250</f>
        <v>44773</v>
      </c>
      <c r="E80" s="23" t="s">
        <v>39</v>
      </c>
      <c r="F80" s="19" t="n">
        <v>4.1</v>
      </c>
      <c r="G80" s="24" t="n">
        <v>4.58</v>
      </c>
      <c r="H80" s="23" t="s">
        <v>9</v>
      </c>
      <c r="I80" s="25" t="n">
        <v>85190</v>
      </c>
    </row>
    <row r="81" customFormat="false" ht="19.5" hidden="false" customHeight="true" outlineLevel="0" collapsed="false">
      <c r="A81" s="26" t="s">
        <v>141</v>
      </c>
      <c r="B81" s="27" t="s">
        <v>27</v>
      </c>
      <c r="C81" s="27" t="s">
        <v>54</v>
      </c>
      <c r="D81" s="28" t="n">
        <f aca="false">DATE(2026,1,1)-1093</f>
        <v>44930</v>
      </c>
      <c r="E81" s="29" t="s">
        <v>39</v>
      </c>
      <c r="F81" s="15" t="n">
        <v>2.4</v>
      </c>
      <c r="G81" s="30" t="n">
        <v>3.19</v>
      </c>
      <c r="H81" s="29" t="s">
        <v>9</v>
      </c>
      <c r="I81" s="31" t="n">
        <v>64531</v>
      </c>
    </row>
    <row r="82" customFormat="false" ht="19.5" hidden="false" customHeight="true" outlineLevel="0" collapsed="false">
      <c r="A82" s="20" t="s">
        <v>142</v>
      </c>
      <c r="B82" s="21" t="s">
        <v>18</v>
      </c>
      <c r="C82" s="21" t="s">
        <v>44</v>
      </c>
      <c r="D82" s="22" t="n">
        <f aca="false">DATE(2026,1,1)-2150</f>
        <v>43873</v>
      </c>
      <c r="E82" s="23" t="s">
        <v>52</v>
      </c>
      <c r="F82" s="19" t="n">
        <v>6.5</v>
      </c>
      <c r="G82" s="24" t="n">
        <v>3.28</v>
      </c>
      <c r="H82" s="23" t="s">
        <v>9</v>
      </c>
      <c r="I82" s="25" t="n">
        <v>123888</v>
      </c>
    </row>
    <row r="83" customFormat="false" ht="19.5" hidden="false" customHeight="true" outlineLevel="0" collapsed="false">
      <c r="A83" s="26" t="s">
        <v>143</v>
      </c>
      <c r="B83" s="27" t="s">
        <v>24</v>
      </c>
      <c r="C83" s="27" t="s">
        <v>59</v>
      </c>
      <c r="D83" s="28" t="n">
        <f aca="false">DATE(2026,1,1)-988</f>
        <v>45035</v>
      </c>
      <c r="E83" s="29" t="s">
        <v>39</v>
      </c>
      <c r="F83" s="15" t="n">
        <v>3.8</v>
      </c>
      <c r="G83" s="30" t="n">
        <v>3.1</v>
      </c>
      <c r="H83" s="29" t="s">
        <v>9</v>
      </c>
      <c r="I83" s="31" t="n">
        <v>89270</v>
      </c>
    </row>
    <row r="84" customFormat="false" ht="19.5" hidden="false" customHeight="true" outlineLevel="0" collapsed="false">
      <c r="A84" s="20" t="s">
        <v>144</v>
      </c>
      <c r="B84" s="21" t="s">
        <v>26</v>
      </c>
      <c r="C84" s="21" t="s">
        <v>81</v>
      </c>
      <c r="D84" s="22" t="n">
        <f aca="false">DATE(2026,1,1)-1696</f>
        <v>44327</v>
      </c>
      <c r="E84" s="23" t="s">
        <v>39</v>
      </c>
      <c r="F84" s="19" t="n">
        <v>6.5</v>
      </c>
      <c r="G84" s="24" t="n">
        <v>2.82</v>
      </c>
      <c r="H84" s="23" t="s">
        <v>9</v>
      </c>
      <c r="I84" s="25" t="n">
        <v>100804</v>
      </c>
    </row>
    <row r="85" customFormat="false" ht="19.5" hidden="false" customHeight="true" outlineLevel="0" collapsed="false">
      <c r="A85" s="26" t="s">
        <v>145</v>
      </c>
      <c r="B85" s="27" t="s">
        <v>22</v>
      </c>
      <c r="C85" s="27" t="s">
        <v>50</v>
      </c>
      <c r="D85" s="28" t="n">
        <f aca="false">DATE(2026,1,1)-402</f>
        <v>45621</v>
      </c>
      <c r="E85" s="29" t="s">
        <v>57</v>
      </c>
      <c r="F85" s="15" t="n">
        <v>2</v>
      </c>
      <c r="G85" s="30" t="n">
        <v>4.76</v>
      </c>
      <c r="H85" s="29" t="s">
        <v>9</v>
      </c>
      <c r="I85" s="31" t="n">
        <v>84153</v>
      </c>
    </row>
    <row r="86" customFormat="false" ht="19.5" hidden="false" customHeight="true" outlineLevel="0" collapsed="false">
      <c r="A86" s="20" t="s">
        <v>146</v>
      </c>
      <c r="B86" s="21" t="s">
        <v>18</v>
      </c>
      <c r="C86" s="21" t="s">
        <v>66</v>
      </c>
      <c r="D86" s="22" t="n">
        <f aca="false">DATE(2026,1,1)-660</f>
        <v>45363</v>
      </c>
      <c r="E86" s="23" t="s">
        <v>63</v>
      </c>
      <c r="F86" s="19" t="n">
        <v>2.4</v>
      </c>
      <c r="G86" s="24" t="n">
        <v>3.45</v>
      </c>
      <c r="H86" s="23" t="s">
        <v>9</v>
      </c>
      <c r="I86" s="25" t="n">
        <v>133684</v>
      </c>
    </row>
    <row r="87" customFormat="false" ht="19.5" hidden="false" customHeight="true" outlineLevel="0" collapsed="false">
      <c r="A87" s="26" t="s">
        <v>147</v>
      </c>
      <c r="B87" s="27" t="s">
        <v>26</v>
      </c>
      <c r="C87" s="27" t="s">
        <v>110</v>
      </c>
      <c r="D87" s="28" t="n">
        <f aca="false">DATE(2026,1,1)-424</f>
        <v>45599</v>
      </c>
      <c r="E87" s="29" t="s">
        <v>39</v>
      </c>
      <c r="F87" s="15" t="n">
        <v>1.3</v>
      </c>
      <c r="G87" s="30" t="n">
        <v>2.85</v>
      </c>
      <c r="H87" s="29" t="s">
        <v>9</v>
      </c>
      <c r="I87" s="31" t="n">
        <v>84029</v>
      </c>
    </row>
    <row r="88" customFormat="false" ht="19.5" hidden="false" customHeight="true" outlineLevel="0" collapsed="false">
      <c r="A88" s="20" t="s">
        <v>148</v>
      </c>
      <c r="B88" s="21" t="s">
        <v>22</v>
      </c>
      <c r="C88" s="21" t="s">
        <v>38</v>
      </c>
      <c r="D88" s="22" t="n">
        <f aca="false">DATE(2026,1,1)-2124</f>
        <v>43899</v>
      </c>
      <c r="E88" s="23" t="s">
        <v>57</v>
      </c>
      <c r="F88" s="19" t="n">
        <v>3.8</v>
      </c>
      <c r="G88" s="24" t="n">
        <v>4.83</v>
      </c>
      <c r="H88" s="23" t="s">
        <v>9</v>
      </c>
      <c r="I88" s="25" t="n">
        <v>116075</v>
      </c>
    </row>
    <row r="89" customFormat="false" ht="19.5" hidden="false" customHeight="true" outlineLevel="0" collapsed="false">
      <c r="A89" s="26" t="s">
        <v>149</v>
      </c>
      <c r="B89" s="27" t="s">
        <v>24</v>
      </c>
      <c r="C89" s="27" t="s">
        <v>47</v>
      </c>
      <c r="D89" s="28" t="n">
        <f aca="false">DATE(2026,1,1)-953</f>
        <v>45070</v>
      </c>
      <c r="E89" s="29" t="s">
        <v>60</v>
      </c>
      <c r="F89" s="15" t="n">
        <v>1.5</v>
      </c>
      <c r="G89" s="30" t="n">
        <v>4.28</v>
      </c>
      <c r="H89" s="29" t="s">
        <v>9</v>
      </c>
      <c r="I89" s="31" t="n">
        <v>133242</v>
      </c>
    </row>
    <row r="90" customFormat="false" ht="19.5" hidden="false" customHeight="true" outlineLevel="0" collapsed="false">
      <c r="A90" s="20" t="s">
        <v>150</v>
      </c>
      <c r="B90" s="21" t="s">
        <v>18</v>
      </c>
      <c r="C90" s="21" t="s">
        <v>66</v>
      </c>
      <c r="D90" s="22" t="n">
        <f aca="false">DATE(2026,1,1)-1799</f>
        <v>44224</v>
      </c>
      <c r="E90" s="23" t="s">
        <v>63</v>
      </c>
      <c r="F90" s="19" t="n">
        <v>4.1</v>
      </c>
      <c r="G90" s="24" t="n">
        <v>3.14</v>
      </c>
      <c r="H90" s="23" t="s">
        <v>9</v>
      </c>
      <c r="I90" s="25" t="n">
        <v>118057</v>
      </c>
    </row>
    <row r="91" customFormat="false" ht="19.5" hidden="false" customHeight="true" outlineLevel="0" collapsed="false">
      <c r="A91" s="26" t="s">
        <v>151</v>
      </c>
      <c r="B91" s="27" t="s">
        <v>18</v>
      </c>
      <c r="C91" s="27" t="s">
        <v>84</v>
      </c>
      <c r="D91" s="28" t="n">
        <f aca="false">DATE(2026,1,1)-2181</f>
        <v>43842</v>
      </c>
      <c r="E91" s="29" t="s">
        <v>45</v>
      </c>
      <c r="F91" s="15" t="n">
        <v>6.5</v>
      </c>
      <c r="G91" s="30" t="n">
        <v>3.44</v>
      </c>
      <c r="H91" s="29" t="s">
        <v>9</v>
      </c>
      <c r="I91" s="31" t="n">
        <v>124415</v>
      </c>
    </row>
    <row r="92" customFormat="false" ht="19.5" hidden="false" customHeight="true" outlineLevel="0" collapsed="false">
      <c r="A92" s="20" t="s">
        <v>152</v>
      </c>
      <c r="B92" s="21" t="s">
        <v>24</v>
      </c>
      <c r="C92" s="21" t="s">
        <v>47</v>
      </c>
      <c r="D92" s="22" t="n">
        <f aca="false">DATE(2026,1,1)-685</f>
        <v>45338</v>
      </c>
      <c r="E92" s="23" t="s">
        <v>52</v>
      </c>
      <c r="F92" s="19" t="n">
        <v>3.8</v>
      </c>
      <c r="G92" s="24" t="n">
        <v>2.94</v>
      </c>
      <c r="H92" s="23" t="s">
        <v>9</v>
      </c>
      <c r="I92" s="25" t="n">
        <v>133291</v>
      </c>
    </row>
    <row r="93" customFormat="false" ht="19.5" hidden="false" customHeight="true" outlineLevel="0" collapsed="false">
      <c r="A93" s="26" t="s">
        <v>153</v>
      </c>
      <c r="B93" s="27" t="s">
        <v>24</v>
      </c>
      <c r="C93" s="27" t="s">
        <v>47</v>
      </c>
      <c r="D93" s="28" t="n">
        <f aca="false">DATE(2026,1,1)-1546</f>
        <v>44477</v>
      </c>
      <c r="E93" s="29" t="s">
        <v>52</v>
      </c>
      <c r="F93" s="15" t="n">
        <v>4.7</v>
      </c>
      <c r="G93" s="30" t="n">
        <v>4.26</v>
      </c>
      <c r="H93" s="29" t="s">
        <v>9</v>
      </c>
      <c r="I93" s="31" t="n">
        <v>140250</v>
      </c>
    </row>
    <row r="94" customFormat="false" ht="19.5" hidden="false" customHeight="true" outlineLevel="0" collapsed="false">
      <c r="A94" s="20" t="s">
        <v>154</v>
      </c>
      <c r="B94" s="21" t="s">
        <v>24</v>
      </c>
      <c r="C94" s="21" t="s">
        <v>47</v>
      </c>
      <c r="D94" s="22" t="n">
        <f aca="false">DATE(2026,1,1)-194</f>
        <v>45829</v>
      </c>
      <c r="E94" s="23" t="s">
        <v>63</v>
      </c>
      <c r="F94" s="19" t="n">
        <v>7.3</v>
      </c>
      <c r="G94" s="24" t="n">
        <v>3.69</v>
      </c>
      <c r="H94" s="23" t="s">
        <v>9</v>
      </c>
      <c r="I94" s="25" t="n">
        <v>50276</v>
      </c>
    </row>
    <row r="95" customFormat="false" ht="19.5" hidden="false" customHeight="true" outlineLevel="0" collapsed="false">
      <c r="A95" s="26" t="s">
        <v>155</v>
      </c>
      <c r="B95" s="27" t="s">
        <v>18</v>
      </c>
      <c r="C95" s="27" t="s">
        <v>84</v>
      </c>
      <c r="D95" s="28" t="n">
        <f aca="false">DATE(2026,1,1)-438</f>
        <v>45585</v>
      </c>
      <c r="E95" s="29" t="s">
        <v>48</v>
      </c>
      <c r="F95" s="15" t="n">
        <v>3.4</v>
      </c>
      <c r="G95" s="30" t="n">
        <v>4.62</v>
      </c>
      <c r="H95" s="29" t="s">
        <v>9</v>
      </c>
      <c r="I95" s="31" t="n">
        <v>94737</v>
      </c>
    </row>
    <row r="96" customFormat="false" ht="19.5" hidden="false" customHeight="true" outlineLevel="0" collapsed="false">
      <c r="A96" s="20" t="s">
        <v>156</v>
      </c>
      <c r="B96" s="21" t="s">
        <v>20</v>
      </c>
      <c r="C96" s="21" t="s">
        <v>78</v>
      </c>
      <c r="D96" s="22" t="n">
        <f aca="false">DATE(2026,1,1)-1605</f>
        <v>44418</v>
      </c>
      <c r="E96" s="23" t="s">
        <v>60</v>
      </c>
      <c r="F96" s="19" t="n">
        <v>1.3</v>
      </c>
      <c r="G96" s="24" t="n">
        <v>3.23</v>
      </c>
      <c r="H96" s="23" t="s">
        <v>9</v>
      </c>
      <c r="I96" s="25" t="n">
        <v>62644</v>
      </c>
    </row>
    <row r="97" customFormat="false" ht="19.5" hidden="false" customHeight="true" outlineLevel="0" collapsed="false">
      <c r="A97" s="26" t="s">
        <v>157</v>
      </c>
      <c r="B97" s="27" t="s">
        <v>16</v>
      </c>
      <c r="C97" s="27" t="s">
        <v>158</v>
      </c>
      <c r="D97" s="28" t="n">
        <f aca="false">DATE(2026,1,1)-463</f>
        <v>45560</v>
      </c>
      <c r="E97" s="29" t="s">
        <v>57</v>
      </c>
      <c r="F97" s="15" t="n">
        <v>3.3</v>
      </c>
      <c r="G97" s="30" t="n">
        <v>3.46</v>
      </c>
      <c r="H97" s="29" t="s">
        <v>9</v>
      </c>
      <c r="I97" s="31" t="n">
        <v>122804</v>
      </c>
    </row>
    <row r="98" customFormat="false" ht="19.5" hidden="false" customHeight="true" outlineLevel="0" collapsed="false">
      <c r="A98" s="20" t="s">
        <v>159</v>
      </c>
      <c r="B98" s="21" t="s">
        <v>16</v>
      </c>
      <c r="C98" s="21" t="s">
        <v>100</v>
      </c>
      <c r="D98" s="22" t="n">
        <f aca="false">DATE(2026,1,1)-1245</f>
        <v>44778</v>
      </c>
      <c r="E98" s="23" t="s">
        <v>60</v>
      </c>
      <c r="F98" s="19" t="n">
        <v>3.6</v>
      </c>
      <c r="G98" s="24" t="n">
        <v>3.07</v>
      </c>
      <c r="H98" s="23" t="s">
        <v>9</v>
      </c>
      <c r="I98" s="25" t="n">
        <v>82638</v>
      </c>
    </row>
    <row r="99" customFormat="false" ht="19.5" hidden="false" customHeight="true" outlineLevel="0" collapsed="false">
      <c r="A99" s="26" t="s">
        <v>160</v>
      </c>
      <c r="B99" s="27" t="s">
        <v>26</v>
      </c>
      <c r="C99" s="27" t="s">
        <v>81</v>
      </c>
      <c r="D99" s="28" t="n">
        <f aca="false">DATE(2026,1,1)-170</f>
        <v>45853</v>
      </c>
      <c r="E99" s="29" t="s">
        <v>39</v>
      </c>
      <c r="F99" s="15" t="n">
        <v>4.3</v>
      </c>
      <c r="G99" s="30" t="n">
        <v>3.35</v>
      </c>
      <c r="H99" s="29" t="s">
        <v>9</v>
      </c>
      <c r="I99" s="31" t="n">
        <v>98910</v>
      </c>
    </row>
    <row r="100" customFormat="false" ht="19.5" hidden="false" customHeight="true" outlineLevel="0" collapsed="false">
      <c r="A100" s="20" t="s">
        <v>161</v>
      </c>
      <c r="B100" s="21" t="s">
        <v>24</v>
      </c>
      <c r="C100" s="21" t="s">
        <v>90</v>
      </c>
      <c r="D100" s="22" t="n">
        <f aca="false">DATE(2026,1,1)-585</f>
        <v>45438</v>
      </c>
      <c r="E100" s="23" t="s">
        <v>60</v>
      </c>
      <c r="F100" s="19" t="n">
        <v>2.8</v>
      </c>
      <c r="G100" s="24" t="n">
        <v>4.36</v>
      </c>
      <c r="H100" s="23" t="s">
        <v>9</v>
      </c>
      <c r="I100" s="25" t="n">
        <v>90301</v>
      </c>
    </row>
    <row r="101" customFormat="false" ht="19.5" hidden="false" customHeight="true" outlineLevel="0" collapsed="false">
      <c r="A101" s="26" t="s">
        <v>162</v>
      </c>
      <c r="B101" s="27" t="s">
        <v>16</v>
      </c>
      <c r="C101" s="27" t="s">
        <v>158</v>
      </c>
      <c r="D101" s="28" t="n">
        <f aca="false">DATE(2026,1,1)-995</f>
        <v>45028</v>
      </c>
      <c r="E101" s="29" t="s">
        <v>48</v>
      </c>
      <c r="F101" s="15" t="n">
        <v>5.4</v>
      </c>
      <c r="G101" s="30" t="n">
        <v>3.85</v>
      </c>
      <c r="H101" s="29" t="s">
        <v>9</v>
      </c>
      <c r="I101" s="31" t="n">
        <v>76676</v>
      </c>
    </row>
    <row r="102" customFormat="false" ht="19.5" hidden="false" customHeight="true" outlineLevel="0" collapsed="false">
      <c r="A102" s="20" t="s">
        <v>163</v>
      </c>
      <c r="B102" s="21" t="s">
        <v>27</v>
      </c>
      <c r="C102" s="21" t="s">
        <v>72</v>
      </c>
      <c r="D102" s="22" t="n">
        <f aca="false">DATE(2026,1,1)-215</f>
        <v>45808</v>
      </c>
      <c r="E102" s="23" t="s">
        <v>52</v>
      </c>
      <c r="F102" s="19" t="n">
        <v>3.9</v>
      </c>
      <c r="G102" s="24" t="n">
        <v>4.46</v>
      </c>
      <c r="H102" s="23" t="s">
        <v>9</v>
      </c>
      <c r="I102" s="25" t="n">
        <v>118599</v>
      </c>
    </row>
    <row r="103" customFormat="false" ht="19.5" hidden="false" customHeight="true" outlineLevel="0" collapsed="false">
      <c r="A103" s="26" t="s">
        <v>164</v>
      </c>
      <c r="B103" s="27" t="s">
        <v>18</v>
      </c>
      <c r="C103" s="27" t="s">
        <v>84</v>
      </c>
      <c r="D103" s="28" t="n">
        <f aca="false">DATE(2026,1,1)-1515</f>
        <v>44508</v>
      </c>
      <c r="E103" s="29" t="s">
        <v>45</v>
      </c>
      <c r="F103" s="15" t="n">
        <v>6.1</v>
      </c>
      <c r="G103" s="30" t="n">
        <v>4.85</v>
      </c>
      <c r="H103" s="29" t="s">
        <v>9</v>
      </c>
      <c r="I103" s="31" t="n">
        <v>46969</v>
      </c>
    </row>
    <row r="104" customFormat="false" ht="19.5" hidden="false" customHeight="true" outlineLevel="0" collapsed="false">
      <c r="A104" s="20" t="s">
        <v>165</v>
      </c>
      <c r="B104" s="21" t="s">
        <v>27</v>
      </c>
      <c r="C104" s="21" t="s">
        <v>96</v>
      </c>
      <c r="D104" s="22" t="n">
        <f aca="false">DATE(2026,1,1)-123</f>
        <v>45900</v>
      </c>
      <c r="E104" s="23" t="s">
        <v>48</v>
      </c>
      <c r="F104" s="19" t="n">
        <v>2</v>
      </c>
      <c r="G104" s="24" t="n">
        <v>3.9</v>
      </c>
      <c r="H104" s="23" t="s">
        <v>9</v>
      </c>
      <c r="I104" s="25" t="n">
        <v>110092</v>
      </c>
    </row>
    <row r="105" customFormat="false" ht="19.5" hidden="false" customHeight="true" outlineLevel="0" collapsed="false">
      <c r="A105" s="26" t="s">
        <v>166</v>
      </c>
      <c r="B105" s="27" t="s">
        <v>26</v>
      </c>
      <c r="C105" s="27" t="s">
        <v>81</v>
      </c>
      <c r="D105" s="28" t="n">
        <f aca="false">DATE(2026,1,1)-72</f>
        <v>45951</v>
      </c>
      <c r="E105" s="29" t="s">
        <v>52</v>
      </c>
      <c r="F105" s="15" t="n">
        <v>6</v>
      </c>
      <c r="G105" s="30" t="n">
        <v>4.07</v>
      </c>
      <c r="H105" s="29" t="s">
        <v>9</v>
      </c>
      <c r="I105" s="31" t="n">
        <v>128927</v>
      </c>
    </row>
    <row r="106" customFormat="false" ht="19.5" hidden="false" customHeight="true" outlineLevel="0" collapsed="false">
      <c r="A106" s="20" t="s">
        <v>167</v>
      </c>
      <c r="B106" s="21" t="s">
        <v>22</v>
      </c>
      <c r="C106" s="21" t="s">
        <v>50</v>
      </c>
      <c r="D106" s="22" t="n">
        <f aca="false">DATE(2026,1,1)-574</f>
        <v>45449</v>
      </c>
      <c r="E106" s="23" t="s">
        <v>45</v>
      </c>
      <c r="F106" s="19" t="n">
        <v>7.4</v>
      </c>
      <c r="G106" s="24" t="n">
        <v>3.95</v>
      </c>
      <c r="H106" s="23" t="s">
        <v>9</v>
      </c>
      <c r="I106" s="25" t="n">
        <v>124796</v>
      </c>
    </row>
    <row r="107" customFormat="false" ht="19.5" hidden="false" customHeight="true" outlineLevel="0" collapsed="false">
      <c r="A107" s="26" t="s">
        <v>168</v>
      </c>
      <c r="B107" s="27" t="s">
        <v>16</v>
      </c>
      <c r="C107" s="27" t="s">
        <v>100</v>
      </c>
      <c r="D107" s="28" t="n">
        <f aca="false">DATE(2026,1,1)-193</f>
        <v>45830</v>
      </c>
      <c r="E107" s="29" t="s">
        <v>60</v>
      </c>
      <c r="F107" s="15" t="n">
        <v>0.9</v>
      </c>
      <c r="G107" s="30" t="n">
        <v>2.87</v>
      </c>
      <c r="H107" s="29" t="s">
        <v>9</v>
      </c>
      <c r="I107" s="31" t="n">
        <v>119655</v>
      </c>
    </row>
    <row r="108" customFormat="false" ht="19.5" hidden="false" customHeight="true" outlineLevel="0" collapsed="false">
      <c r="A108" s="20" t="s">
        <v>169</v>
      </c>
      <c r="B108" s="21" t="s">
        <v>22</v>
      </c>
      <c r="C108" s="21" t="s">
        <v>38</v>
      </c>
      <c r="D108" s="22" t="n">
        <f aca="false">DATE(2026,1,1)-2100</f>
        <v>43923</v>
      </c>
      <c r="E108" s="23" t="s">
        <v>45</v>
      </c>
      <c r="F108" s="19" t="n">
        <v>1.5</v>
      </c>
      <c r="G108" s="24" t="n">
        <v>4.01</v>
      </c>
      <c r="H108" s="23" t="s">
        <v>9</v>
      </c>
      <c r="I108" s="25" t="n">
        <v>135621</v>
      </c>
    </row>
    <row r="109" customFormat="false" ht="19.5" hidden="false" customHeight="true" outlineLevel="0" collapsed="false">
      <c r="A109" s="26" t="s">
        <v>170</v>
      </c>
      <c r="B109" s="27" t="s">
        <v>16</v>
      </c>
      <c r="C109" s="27" t="s">
        <v>158</v>
      </c>
      <c r="D109" s="28" t="n">
        <f aca="false">DATE(2026,1,1)-1587</f>
        <v>44436</v>
      </c>
      <c r="E109" s="29" t="s">
        <v>39</v>
      </c>
      <c r="F109" s="15" t="n">
        <v>6.8</v>
      </c>
      <c r="G109" s="30" t="n">
        <v>4.2</v>
      </c>
      <c r="H109" s="29" t="s">
        <v>9</v>
      </c>
      <c r="I109" s="31" t="n">
        <v>68272</v>
      </c>
    </row>
    <row r="110" customFormat="false" ht="19.5" hidden="false" customHeight="true" outlineLevel="0" collapsed="false">
      <c r="A110" s="20" t="s">
        <v>171</v>
      </c>
      <c r="B110" s="21" t="s">
        <v>24</v>
      </c>
      <c r="C110" s="21" t="s">
        <v>47</v>
      </c>
      <c r="D110" s="22" t="n">
        <f aca="false">DATE(2026,1,1)-2020</f>
        <v>44003</v>
      </c>
      <c r="E110" s="23" t="s">
        <v>45</v>
      </c>
      <c r="F110" s="19" t="n">
        <v>1.1</v>
      </c>
      <c r="G110" s="24" t="n">
        <v>4.28</v>
      </c>
      <c r="H110" s="23" t="s">
        <v>9</v>
      </c>
      <c r="I110" s="25" t="n">
        <v>124431</v>
      </c>
    </row>
    <row r="111" customFormat="false" ht="19.5" hidden="false" customHeight="true" outlineLevel="0" collapsed="false">
      <c r="A111" s="26" t="s">
        <v>172</v>
      </c>
      <c r="B111" s="27" t="s">
        <v>20</v>
      </c>
      <c r="C111" s="27" t="s">
        <v>38</v>
      </c>
      <c r="D111" s="28" t="n">
        <f aca="false">DATE(2026,1,1)-60</f>
        <v>45963</v>
      </c>
      <c r="E111" s="29" t="s">
        <v>39</v>
      </c>
      <c r="F111" s="15" t="n">
        <v>1.8</v>
      </c>
      <c r="G111" s="30" t="n">
        <v>4.85</v>
      </c>
      <c r="H111" s="29" t="s">
        <v>9</v>
      </c>
      <c r="I111" s="31" t="n">
        <v>75381</v>
      </c>
    </row>
    <row r="112" customFormat="false" ht="19.5" hidden="false" customHeight="true" outlineLevel="0" collapsed="false">
      <c r="A112" s="20" t="s">
        <v>173</v>
      </c>
      <c r="B112" s="21" t="s">
        <v>18</v>
      </c>
      <c r="C112" s="21" t="s">
        <v>84</v>
      </c>
      <c r="D112" s="22" t="n">
        <f aca="false">DATE(2026,1,1)-132</f>
        <v>45891</v>
      </c>
      <c r="E112" s="23" t="s">
        <v>52</v>
      </c>
      <c r="F112" s="19" t="n">
        <v>4.5</v>
      </c>
      <c r="G112" s="24" t="n">
        <v>3.27</v>
      </c>
      <c r="H112" s="23" t="s">
        <v>9</v>
      </c>
      <c r="I112" s="25" t="n">
        <v>87187</v>
      </c>
    </row>
    <row r="113" customFormat="false" ht="19.5" hidden="false" customHeight="true" outlineLevel="0" collapsed="false">
      <c r="A113" s="26" t="s">
        <v>174</v>
      </c>
      <c r="B113" s="27" t="s">
        <v>22</v>
      </c>
      <c r="C113" s="27" t="s">
        <v>38</v>
      </c>
      <c r="D113" s="28" t="n">
        <f aca="false">DATE(2026,1,1)-1702</f>
        <v>44321</v>
      </c>
      <c r="E113" s="29" t="s">
        <v>52</v>
      </c>
      <c r="F113" s="15" t="n">
        <v>7.1</v>
      </c>
      <c r="G113" s="30" t="n">
        <v>3.59</v>
      </c>
      <c r="H113" s="29" t="s">
        <v>9</v>
      </c>
      <c r="I113" s="31" t="n">
        <v>45792</v>
      </c>
    </row>
    <row r="114" customFormat="false" ht="19.5" hidden="false" customHeight="true" outlineLevel="0" collapsed="false">
      <c r="A114" s="20" t="s">
        <v>175</v>
      </c>
      <c r="B114" s="21" t="s">
        <v>18</v>
      </c>
      <c r="C114" s="21" t="s">
        <v>84</v>
      </c>
      <c r="D114" s="22" t="n">
        <f aca="false">DATE(2026,1,1)-1959</f>
        <v>44064</v>
      </c>
      <c r="E114" s="23" t="s">
        <v>48</v>
      </c>
      <c r="F114" s="19" t="n">
        <v>2.6</v>
      </c>
      <c r="G114" s="24" t="n">
        <v>4.56</v>
      </c>
      <c r="H114" s="23" t="s">
        <v>9</v>
      </c>
      <c r="I114" s="25" t="n">
        <v>140881</v>
      </c>
    </row>
    <row r="115" customFormat="false" ht="19.5" hidden="false" customHeight="true" outlineLevel="0" collapsed="false">
      <c r="A115" s="26" t="s">
        <v>176</v>
      </c>
      <c r="B115" s="27" t="s">
        <v>26</v>
      </c>
      <c r="C115" s="27" t="s">
        <v>110</v>
      </c>
      <c r="D115" s="28" t="n">
        <f aca="false">DATE(2026,1,1)-1402</f>
        <v>44621</v>
      </c>
      <c r="E115" s="29" t="s">
        <v>39</v>
      </c>
      <c r="F115" s="15" t="n">
        <v>1.6</v>
      </c>
      <c r="G115" s="30" t="n">
        <v>4.1</v>
      </c>
      <c r="H115" s="29" t="s">
        <v>9</v>
      </c>
      <c r="I115" s="31" t="n">
        <v>97290</v>
      </c>
    </row>
    <row r="116" customFormat="false" ht="19.5" hidden="false" customHeight="true" outlineLevel="0" collapsed="false">
      <c r="A116" s="20" t="s">
        <v>177</v>
      </c>
      <c r="B116" s="21" t="s">
        <v>24</v>
      </c>
      <c r="C116" s="21" t="s">
        <v>90</v>
      </c>
      <c r="D116" s="22" t="n">
        <f aca="false">DATE(2026,1,1)-688</f>
        <v>45335</v>
      </c>
      <c r="E116" s="23" t="s">
        <v>45</v>
      </c>
      <c r="F116" s="19" t="n">
        <v>7.7</v>
      </c>
      <c r="G116" s="24" t="n">
        <v>3.25</v>
      </c>
      <c r="H116" s="23" t="s">
        <v>9</v>
      </c>
      <c r="I116" s="25" t="n">
        <v>135131</v>
      </c>
    </row>
    <row r="117" customFormat="false" ht="19.5" hidden="false" customHeight="true" outlineLevel="0" collapsed="false">
      <c r="A117" s="26" t="s">
        <v>178</v>
      </c>
      <c r="B117" s="27" t="s">
        <v>22</v>
      </c>
      <c r="C117" s="27" t="s">
        <v>38</v>
      </c>
      <c r="D117" s="28" t="n">
        <f aca="false">DATE(2026,1,1)-1794</f>
        <v>44229</v>
      </c>
      <c r="E117" s="29" t="s">
        <v>39</v>
      </c>
      <c r="F117" s="15" t="n">
        <v>2.9</v>
      </c>
      <c r="G117" s="30" t="n">
        <v>4.85</v>
      </c>
      <c r="H117" s="29" t="s">
        <v>9</v>
      </c>
      <c r="I117" s="31" t="n">
        <v>56730</v>
      </c>
    </row>
    <row r="118" customFormat="false" ht="19.5" hidden="false" customHeight="true" outlineLevel="0" collapsed="false">
      <c r="A118" s="20" t="s">
        <v>179</v>
      </c>
      <c r="B118" s="21" t="s">
        <v>18</v>
      </c>
      <c r="C118" s="21" t="s">
        <v>84</v>
      </c>
      <c r="D118" s="22" t="n">
        <f aca="false">DATE(2026,1,1)-1073</f>
        <v>44950</v>
      </c>
      <c r="E118" s="23" t="s">
        <v>45</v>
      </c>
      <c r="F118" s="19" t="n">
        <v>7.9</v>
      </c>
      <c r="G118" s="24" t="n">
        <v>3.13</v>
      </c>
      <c r="H118" s="23" t="s">
        <v>9</v>
      </c>
      <c r="I118" s="25" t="n">
        <v>138353</v>
      </c>
    </row>
    <row r="119" customFormat="false" ht="19.5" hidden="false" customHeight="true" outlineLevel="0" collapsed="false">
      <c r="A119" s="26" t="s">
        <v>180</v>
      </c>
      <c r="B119" s="27" t="s">
        <v>22</v>
      </c>
      <c r="C119" s="27" t="s">
        <v>50</v>
      </c>
      <c r="D119" s="28" t="n">
        <f aca="false">DATE(2026,1,1)-1457</f>
        <v>44566</v>
      </c>
      <c r="E119" s="29" t="s">
        <v>57</v>
      </c>
      <c r="F119" s="15" t="n">
        <v>1.9</v>
      </c>
      <c r="G119" s="30" t="n">
        <v>4.32</v>
      </c>
      <c r="H119" s="29" t="s">
        <v>9</v>
      </c>
      <c r="I119" s="31" t="n">
        <v>127643</v>
      </c>
    </row>
    <row r="120" customFormat="false" ht="19.5" hidden="false" customHeight="true" outlineLevel="0" collapsed="false">
      <c r="A120" s="20" t="s">
        <v>181</v>
      </c>
      <c r="B120" s="21" t="s">
        <v>22</v>
      </c>
      <c r="C120" s="21" t="s">
        <v>38</v>
      </c>
      <c r="D120" s="22" t="n">
        <f aca="false">DATE(2026,1,1)-941</f>
        <v>45082</v>
      </c>
      <c r="E120" s="23" t="s">
        <v>63</v>
      </c>
      <c r="F120" s="19" t="n">
        <v>7.8</v>
      </c>
      <c r="G120" s="24" t="n">
        <v>3.72</v>
      </c>
      <c r="H120" s="23" t="s">
        <v>9</v>
      </c>
      <c r="I120" s="25" t="n">
        <v>45906</v>
      </c>
    </row>
    <row r="121" customFormat="false" ht="19.5" hidden="false" customHeight="true" outlineLevel="0" collapsed="false">
      <c r="A121" s="26" t="s">
        <v>182</v>
      </c>
      <c r="B121" s="27" t="s">
        <v>18</v>
      </c>
      <c r="C121" s="27" t="s">
        <v>84</v>
      </c>
      <c r="D121" s="28" t="n">
        <f aca="false">DATE(2026,1,1)-1815</f>
        <v>44208</v>
      </c>
      <c r="E121" s="29" t="s">
        <v>39</v>
      </c>
      <c r="F121" s="15" t="n">
        <v>7</v>
      </c>
      <c r="G121" s="30" t="n">
        <v>3.71</v>
      </c>
      <c r="H121" s="29" t="s">
        <v>9</v>
      </c>
      <c r="I121" s="31" t="n">
        <v>141563</v>
      </c>
    </row>
    <row r="122" customFormat="false" ht="19.5" hidden="false" customHeight="true" outlineLevel="0" collapsed="false">
      <c r="A122" s="20" t="s">
        <v>183</v>
      </c>
      <c r="B122" s="21" t="s">
        <v>18</v>
      </c>
      <c r="C122" s="21" t="s">
        <v>84</v>
      </c>
      <c r="D122" s="22" t="n">
        <f aca="false">DATE(2026,1,1)-647</f>
        <v>45376</v>
      </c>
      <c r="E122" s="23" t="s">
        <v>48</v>
      </c>
      <c r="F122" s="19" t="n">
        <v>4.8</v>
      </c>
      <c r="G122" s="24" t="n">
        <v>4.25</v>
      </c>
      <c r="H122" s="23" t="s">
        <v>9</v>
      </c>
      <c r="I122" s="25" t="n">
        <v>108370</v>
      </c>
    </row>
    <row r="123" customFormat="false" ht="19.5" hidden="false" customHeight="true" outlineLevel="0" collapsed="false">
      <c r="A123" s="26" t="s">
        <v>184</v>
      </c>
      <c r="B123" s="27" t="s">
        <v>22</v>
      </c>
      <c r="C123" s="27" t="s">
        <v>38</v>
      </c>
      <c r="D123" s="28" t="n">
        <f aca="false">DATE(2026,1,1)-810</f>
        <v>45213</v>
      </c>
      <c r="E123" s="29" t="s">
        <v>48</v>
      </c>
      <c r="F123" s="15" t="n">
        <v>5.6</v>
      </c>
      <c r="G123" s="30" t="n">
        <v>3.82</v>
      </c>
      <c r="H123" s="29" t="s">
        <v>42</v>
      </c>
      <c r="I123" s="31" t="n">
        <v>84314</v>
      </c>
    </row>
    <row r="124" customFormat="false" ht="19.5" hidden="false" customHeight="true" outlineLevel="0" collapsed="false">
      <c r="A124" s="20" t="s">
        <v>185</v>
      </c>
      <c r="B124" s="21" t="s">
        <v>24</v>
      </c>
      <c r="C124" s="21" t="s">
        <v>47</v>
      </c>
      <c r="D124" s="22" t="n">
        <f aca="false">DATE(2026,1,1)-1960</f>
        <v>44063</v>
      </c>
      <c r="E124" s="23" t="s">
        <v>45</v>
      </c>
      <c r="F124" s="19" t="n">
        <v>1.2</v>
      </c>
      <c r="G124" s="24" t="n">
        <v>2.87</v>
      </c>
      <c r="H124" s="23" t="s">
        <v>9</v>
      </c>
      <c r="I124" s="25" t="n">
        <v>70265</v>
      </c>
    </row>
    <row r="125" customFormat="false" ht="19.5" hidden="false" customHeight="true" outlineLevel="0" collapsed="false">
      <c r="A125" s="26" t="s">
        <v>186</v>
      </c>
      <c r="B125" s="27" t="s">
        <v>16</v>
      </c>
      <c r="C125" s="27" t="s">
        <v>158</v>
      </c>
      <c r="D125" s="28" t="n">
        <f aca="false">DATE(2026,1,1)-2066</f>
        <v>43957</v>
      </c>
      <c r="E125" s="29" t="s">
        <v>57</v>
      </c>
      <c r="F125" s="15" t="n">
        <v>3.4</v>
      </c>
      <c r="G125" s="30" t="n">
        <v>4.67</v>
      </c>
      <c r="H125" s="29" t="s">
        <v>9</v>
      </c>
      <c r="I125" s="31" t="n">
        <v>52842</v>
      </c>
    </row>
    <row r="126" customFormat="false" ht="19.5" hidden="false" customHeight="true" outlineLevel="0" collapsed="false">
      <c r="A126" s="20" t="s">
        <v>187</v>
      </c>
      <c r="B126" s="21" t="s">
        <v>26</v>
      </c>
      <c r="C126" s="21" t="s">
        <v>110</v>
      </c>
      <c r="D126" s="22" t="n">
        <f aca="false">DATE(2026,1,1)-577</f>
        <v>45446</v>
      </c>
      <c r="E126" s="23" t="s">
        <v>45</v>
      </c>
      <c r="F126" s="19" t="n">
        <v>1.4</v>
      </c>
      <c r="G126" s="24" t="n">
        <v>4.71</v>
      </c>
      <c r="H126" s="23" t="s">
        <v>9</v>
      </c>
      <c r="I126" s="25" t="n">
        <v>115909</v>
      </c>
    </row>
    <row r="127" customFormat="false" ht="19.5" hidden="false" customHeight="true" outlineLevel="0" collapsed="false">
      <c r="A127" s="26" t="s">
        <v>188</v>
      </c>
      <c r="B127" s="27" t="s">
        <v>27</v>
      </c>
      <c r="C127" s="27" t="s">
        <v>96</v>
      </c>
      <c r="D127" s="28" t="n">
        <f aca="false">DATE(2026,1,1)-522</f>
        <v>45501</v>
      </c>
      <c r="E127" s="29" t="s">
        <v>52</v>
      </c>
      <c r="F127" s="15" t="n">
        <v>4.9</v>
      </c>
      <c r="G127" s="30" t="n">
        <v>3.2</v>
      </c>
      <c r="H127" s="29" t="s">
        <v>9</v>
      </c>
      <c r="I127" s="31" t="n">
        <v>78271</v>
      </c>
    </row>
    <row r="128" customFormat="false" ht="19.5" hidden="false" customHeight="true" outlineLevel="0" collapsed="false">
      <c r="A128" s="20" t="s">
        <v>189</v>
      </c>
      <c r="B128" s="21" t="s">
        <v>16</v>
      </c>
      <c r="C128" s="21" t="s">
        <v>158</v>
      </c>
      <c r="D128" s="22" t="n">
        <f aca="false">DATE(2026,1,1)-306</f>
        <v>45717</v>
      </c>
      <c r="E128" s="23" t="s">
        <v>57</v>
      </c>
      <c r="F128" s="19" t="n">
        <v>6.3</v>
      </c>
      <c r="G128" s="24" t="n">
        <v>2.88</v>
      </c>
      <c r="H128" s="23" t="s">
        <v>9</v>
      </c>
      <c r="I128" s="25" t="n">
        <v>124081</v>
      </c>
    </row>
    <row r="129" customFormat="false" ht="19.5" hidden="false" customHeight="true" outlineLevel="0" collapsed="false">
      <c r="A129" s="26" t="s">
        <v>190</v>
      </c>
      <c r="B129" s="27" t="s">
        <v>18</v>
      </c>
      <c r="C129" s="27" t="s">
        <v>66</v>
      </c>
      <c r="D129" s="28" t="n">
        <f aca="false">DATE(2026,1,1)-2177</f>
        <v>43846</v>
      </c>
      <c r="E129" s="29" t="s">
        <v>45</v>
      </c>
      <c r="F129" s="15" t="n">
        <v>0.5</v>
      </c>
      <c r="G129" s="30" t="n">
        <v>3.77</v>
      </c>
      <c r="H129" s="29" t="s">
        <v>9</v>
      </c>
      <c r="I129" s="31" t="n">
        <v>91196</v>
      </c>
    </row>
    <row r="130" customFormat="false" ht="19.5" hidden="false" customHeight="true" outlineLevel="0" collapsed="false">
      <c r="A130" s="20" t="s">
        <v>191</v>
      </c>
      <c r="B130" s="21" t="s">
        <v>27</v>
      </c>
      <c r="C130" s="21" t="s">
        <v>54</v>
      </c>
      <c r="D130" s="22" t="n">
        <f aca="false">DATE(2026,1,1)-1480</f>
        <v>44543</v>
      </c>
      <c r="E130" s="23" t="s">
        <v>60</v>
      </c>
      <c r="F130" s="19" t="n">
        <v>2.3</v>
      </c>
      <c r="G130" s="24" t="n">
        <v>2.84</v>
      </c>
      <c r="H130" s="23" t="s">
        <v>9</v>
      </c>
      <c r="I130" s="25" t="n">
        <v>58720</v>
      </c>
    </row>
    <row r="131" customFormat="false" ht="19.5" hidden="false" customHeight="true" outlineLevel="0" collapsed="false">
      <c r="A131" s="26" t="s">
        <v>192</v>
      </c>
      <c r="B131" s="27" t="s">
        <v>18</v>
      </c>
      <c r="C131" s="27" t="s">
        <v>84</v>
      </c>
      <c r="D131" s="28" t="n">
        <f aca="false">DATE(2026,1,1)-228</f>
        <v>45795</v>
      </c>
      <c r="E131" s="29" t="s">
        <v>45</v>
      </c>
      <c r="F131" s="15" t="n">
        <v>7</v>
      </c>
      <c r="G131" s="30" t="n">
        <v>4.65</v>
      </c>
      <c r="H131" s="29" t="s">
        <v>9</v>
      </c>
      <c r="I131" s="31" t="n">
        <v>82009</v>
      </c>
    </row>
    <row r="132" customFormat="false" ht="19.5" hidden="false" customHeight="true" outlineLevel="0" collapsed="false">
      <c r="A132" s="20" t="s">
        <v>193</v>
      </c>
      <c r="B132" s="21" t="s">
        <v>27</v>
      </c>
      <c r="C132" s="21" t="s">
        <v>54</v>
      </c>
      <c r="D132" s="22" t="n">
        <f aca="false">DATE(2026,1,1)-1453</f>
        <v>44570</v>
      </c>
      <c r="E132" s="23" t="s">
        <v>52</v>
      </c>
      <c r="F132" s="19" t="n">
        <v>5.8</v>
      </c>
      <c r="G132" s="24" t="n">
        <v>3.79</v>
      </c>
      <c r="H132" s="23" t="s">
        <v>9</v>
      </c>
      <c r="I132" s="25" t="n">
        <v>129485</v>
      </c>
    </row>
    <row r="133" customFormat="false" ht="19.5" hidden="false" customHeight="true" outlineLevel="0" collapsed="false">
      <c r="A133" s="26" t="s">
        <v>194</v>
      </c>
      <c r="B133" s="27" t="s">
        <v>22</v>
      </c>
      <c r="C133" s="27" t="s">
        <v>56</v>
      </c>
      <c r="D133" s="28" t="n">
        <f aca="false">DATE(2026,1,1)-2084</f>
        <v>43939</v>
      </c>
      <c r="E133" s="29" t="s">
        <v>57</v>
      </c>
      <c r="F133" s="15" t="n">
        <v>4</v>
      </c>
      <c r="G133" s="30" t="n">
        <v>3.34</v>
      </c>
      <c r="H133" s="29" t="s">
        <v>42</v>
      </c>
      <c r="I133" s="31" t="n">
        <v>56820</v>
      </c>
    </row>
    <row r="134" customFormat="false" ht="19.5" hidden="false" customHeight="true" outlineLevel="0" collapsed="false">
      <c r="A134" s="20" t="s">
        <v>195</v>
      </c>
      <c r="B134" s="21" t="s">
        <v>20</v>
      </c>
      <c r="C134" s="21" t="s">
        <v>47</v>
      </c>
      <c r="D134" s="22" t="n">
        <f aca="false">DATE(2026,1,1)-175</f>
        <v>45848</v>
      </c>
      <c r="E134" s="23" t="s">
        <v>48</v>
      </c>
      <c r="F134" s="19" t="n">
        <v>5.8</v>
      </c>
      <c r="G134" s="24" t="n">
        <v>4.74</v>
      </c>
      <c r="H134" s="23" t="s">
        <v>9</v>
      </c>
      <c r="I134" s="25" t="n">
        <v>67926</v>
      </c>
    </row>
    <row r="135" customFormat="false" ht="19.5" hidden="false" customHeight="true" outlineLevel="0" collapsed="false">
      <c r="A135" s="26" t="s">
        <v>196</v>
      </c>
      <c r="B135" s="27" t="s">
        <v>20</v>
      </c>
      <c r="C135" s="27" t="s">
        <v>38</v>
      </c>
      <c r="D135" s="28" t="n">
        <f aca="false">DATE(2026,1,1)-1556</f>
        <v>44467</v>
      </c>
      <c r="E135" s="29" t="s">
        <v>39</v>
      </c>
      <c r="F135" s="15" t="n">
        <v>3</v>
      </c>
      <c r="G135" s="30" t="n">
        <v>3.37</v>
      </c>
      <c r="H135" s="29" t="s">
        <v>9</v>
      </c>
      <c r="I135" s="31" t="n">
        <v>142479</v>
      </c>
    </row>
    <row r="136" customFormat="false" ht="19.5" hidden="false" customHeight="true" outlineLevel="0" collapsed="false">
      <c r="A136" s="20" t="s">
        <v>197</v>
      </c>
      <c r="B136" s="21" t="s">
        <v>20</v>
      </c>
      <c r="C136" s="21" t="s">
        <v>38</v>
      </c>
      <c r="D136" s="22" t="n">
        <f aca="false">DATE(2026,1,1)-745</f>
        <v>45278</v>
      </c>
      <c r="E136" s="23" t="s">
        <v>39</v>
      </c>
      <c r="F136" s="19" t="n">
        <v>6.7</v>
      </c>
      <c r="G136" s="24" t="n">
        <v>4.2</v>
      </c>
      <c r="H136" s="23" t="s">
        <v>9</v>
      </c>
      <c r="I136" s="25" t="n">
        <v>55324</v>
      </c>
    </row>
    <row r="137" customFormat="false" ht="19.5" hidden="false" customHeight="true" outlineLevel="0" collapsed="false">
      <c r="A137" s="26" t="s">
        <v>198</v>
      </c>
      <c r="B137" s="27" t="s">
        <v>16</v>
      </c>
      <c r="C137" s="27" t="s">
        <v>100</v>
      </c>
      <c r="D137" s="28" t="n">
        <f aca="false">DATE(2026,1,1)-2033</f>
        <v>43990</v>
      </c>
      <c r="E137" s="29" t="s">
        <v>57</v>
      </c>
      <c r="F137" s="15" t="n">
        <v>6.4</v>
      </c>
      <c r="G137" s="30" t="n">
        <v>4.23</v>
      </c>
      <c r="H137" s="29" t="s">
        <v>9</v>
      </c>
      <c r="I137" s="31" t="n">
        <v>90097</v>
      </c>
    </row>
    <row r="138" customFormat="false" ht="19.5" hidden="false" customHeight="true" outlineLevel="0" collapsed="false">
      <c r="A138" s="20" t="s">
        <v>199</v>
      </c>
      <c r="B138" s="21" t="s">
        <v>22</v>
      </c>
      <c r="C138" s="21" t="s">
        <v>38</v>
      </c>
      <c r="D138" s="22" t="n">
        <f aca="false">DATE(2026,1,1)-964</f>
        <v>45059</v>
      </c>
      <c r="E138" s="23" t="s">
        <v>45</v>
      </c>
      <c r="F138" s="19" t="n">
        <v>2.3</v>
      </c>
      <c r="G138" s="24" t="n">
        <v>4.56</v>
      </c>
      <c r="H138" s="23" t="s">
        <v>9</v>
      </c>
      <c r="I138" s="25" t="n">
        <v>77922</v>
      </c>
    </row>
    <row r="139" customFormat="false" ht="19.5" hidden="false" customHeight="true" outlineLevel="0" collapsed="false">
      <c r="A139" s="26" t="s">
        <v>200</v>
      </c>
      <c r="B139" s="27" t="s">
        <v>27</v>
      </c>
      <c r="C139" s="27" t="s">
        <v>72</v>
      </c>
      <c r="D139" s="28" t="n">
        <f aca="false">DATE(2026,1,1)-1684</f>
        <v>44339</v>
      </c>
      <c r="E139" s="29" t="s">
        <v>52</v>
      </c>
      <c r="F139" s="15" t="n">
        <v>6.8</v>
      </c>
      <c r="G139" s="30" t="n">
        <v>2.82</v>
      </c>
      <c r="H139" s="29" t="s">
        <v>9</v>
      </c>
      <c r="I139" s="31" t="n">
        <v>86206</v>
      </c>
    </row>
    <row r="140" customFormat="false" ht="19.5" hidden="false" customHeight="true" outlineLevel="0" collapsed="false">
      <c r="A140" s="20" t="s">
        <v>201</v>
      </c>
      <c r="B140" s="21" t="s">
        <v>18</v>
      </c>
      <c r="C140" s="21" t="s">
        <v>44</v>
      </c>
      <c r="D140" s="22" t="n">
        <f aca="false">DATE(2026,1,1)-1160</f>
        <v>44863</v>
      </c>
      <c r="E140" s="23" t="s">
        <v>48</v>
      </c>
      <c r="F140" s="19" t="n">
        <v>6</v>
      </c>
      <c r="G140" s="24" t="n">
        <v>3.18</v>
      </c>
      <c r="H140" s="23" t="s">
        <v>42</v>
      </c>
      <c r="I140" s="25" t="n">
        <v>132813</v>
      </c>
    </row>
    <row r="141" customFormat="false" ht="19.5" hidden="false" customHeight="true" outlineLevel="0" collapsed="false">
      <c r="A141" s="26" t="s">
        <v>202</v>
      </c>
      <c r="B141" s="27" t="s">
        <v>16</v>
      </c>
      <c r="C141" s="27" t="s">
        <v>100</v>
      </c>
      <c r="D141" s="28" t="n">
        <f aca="false">DATE(2026,1,1)-313</f>
        <v>45710</v>
      </c>
      <c r="E141" s="29" t="s">
        <v>52</v>
      </c>
      <c r="F141" s="15" t="n">
        <v>0.7</v>
      </c>
      <c r="G141" s="30" t="n">
        <v>4.87</v>
      </c>
      <c r="H141" s="29" t="s">
        <v>9</v>
      </c>
      <c r="I141" s="31" t="n">
        <v>64001</v>
      </c>
    </row>
    <row r="142" customFormat="false" ht="19.5" hidden="false" customHeight="true" outlineLevel="0" collapsed="false">
      <c r="A142" s="20" t="s">
        <v>203</v>
      </c>
      <c r="B142" s="21" t="s">
        <v>16</v>
      </c>
      <c r="C142" s="21" t="s">
        <v>204</v>
      </c>
      <c r="D142" s="22" t="n">
        <f aca="false">DATE(2026,1,1)-1238</f>
        <v>44785</v>
      </c>
      <c r="E142" s="23" t="s">
        <v>63</v>
      </c>
      <c r="F142" s="19" t="n">
        <v>3.2</v>
      </c>
      <c r="G142" s="24" t="n">
        <v>3.34</v>
      </c>
      <c r="H142" s="23" t="s">
        <v>9</v>
      </c>
      <c r="I142" s="25" t="n">
        <v>76343</v>
      </c>
    </row>
    <row r="143" customFormat="false" ht="19.5" hidden="false" customHeight="true" outlineLevel="0" collapsed="false">
      <c r="A143" s="26" t="s">
        <v>205</v>
      </c>
      <c r="B143" s="27" t="s">
        <v>16</v>
      </c>
      <c r="C143" s="27" t="s">
        <v>204</v>
      </c>
      <c r="D143" s="28" t="n">
        <f aca="false">DATE(2026,1,1)-1097</f>
        <v>44926</v>
      </c>
      <c r="E143" s="29" t="s">
        <v>48</v>
      </c>
      <c r="F143" s="15" t="n">
        <v>7.5</v>
      </c>
      <c r="G143" s="30" t="n">
        <v>4.53</v>
      </c>
      <c r="H143" s="29" t="s">
        <v>9</v>
      </c>
      <c r="I143" s="31" t="n">
        <v>118376</v>
      </c>
    </row>
    <row r="144" customFormat="false" ht="19.5" hidden="false" customHeight="true" outlineLevel="0" collapsed="false">
      <c r="A144" s="20" t="s">
        <v>206</v>
      </c>
      <c r="B144" s="21" t="s">
        <v>18</v>
      </c>
      <c r="C144" s="21" t="s">
        <v>66</v>
      </c>
      <c r="D144" s="22" t="n">
        <f aca="false">DATE(2026,1,1)-849</f>
        <v>45174</v>
      </c>
      <c r="E144" s="23" t="s">
        <v>60</v>
      </c>
      <c r="F144" s="19" t="n">
        <v>4.2</v>
      </c>
      <c r="G144" s="24" t="n">
        <v>3.56</v>
      </c>
      <c r="H144" s="23" t="s">
        <v>42</v>
      </c>
      <c r="I144" s="25" t="n">
        <v>75498</v>
      </c>
    </row>
    <row r="145" customFormat="false" ht="19.5" hidden="false" customHeight="true" outlineLevel="0" collapsed="false">
      <c r="A145" s="26" t="s">
        <v>207</v>
      </c>
      <c r="B145" s="27" t="s">
        <v>18</v>
      </c>
      <c r="C145" s="27" t="s">
        <v>44</v>
      </c>
      <c r="D145" s="28" t="n">
        <f aca="false">DATE(2026,1,1)-2147</f>
        <v>43876</v>
      </c>
      <c r="E145" s="29" t="s">
        <v>48</v>
      </c>
      <c r="F145" s="15" t="n">
        <v>2.6</v>
      </c>
      <c r="G145" s="30" t="n">
        <v>4.82</v>
      </c>
      <c r="H145" s="29" t="s">
        <v>9</v>
      </c>
      <c r="I145" s="31" t="n">
        <v>103499</v>
      </c>
    </row>
    <row r="146" customFormat="false" ht="19.5" hidden="false" customHeight="true" outlineLevel="0" collapsed="false">
      <c r="A146" s="20" t="s">
        <v>208</v>
      </c>
      <c r="B146" s="21" t="s">
        <v>18</v>
      </c>
      <c r="C146" s="21" t="s">
        <v>44</v>
      </c>
      <c r="D146" s="22" t="n">
        <f aca="false">DATE(2026,1,1)-2184</f>
        <v>43839</v>
      </c>
      <c r="E146" s="23" t="s">
        <v>57</v>
      </c>
      <c r="F146" s="19" t="n">
        <v>5.9</v>
      </c>
      <c r="G146" s="24" t="n">
        <v>4.64</v>
      </c>
      <c r="H146" s="23" t="s">
        <v>9</v>
      </c>
      <c r="I146" s="25" t="n">
        <v>141563</v>
      </c>
    </row>
    <row r="147" customFormat="false" ht="19.5" hidden="false" customHeight="true" outlineLevel="0" collapsed="false">
      <c r="A147" s="26" t="s">
        <v>209</v>
      </c>
      <c r="B147" s="27" t="s">
        <v>18</v>
      </c>
      <c r="C147" s="27" t="s">
        <v>66</v>
      </c>
      <c r="D147" s="28" t="n">
        <f aca="false">DATE(2026,1,1)-216</f>
        <v>45807</v>
      </c>
      <c r="E147" s="29" t="s">
        <v>52</v>
      </c>
      <c r="F147" s="15" t="n">
        <v>0.7</v>
      </c>
      <c r="G147" s="30" t="n">
        <v>3.22</v>
      </c>
      <c r="H147" s="29" t="s">
        <v>9</v>
      </c>
      <c r="I147" s="31" t="n">
        <v>46935</v>
      </c>
    </row>
    <row r="148" customFormat="false" ht="19.5" hidden="false" customHeight="true" outlineLevel="0" collapsed="false">
      <c r="A148" s="20" t="s">
        <v>210</v>
      </c>
      <c r="B148" s="21" t="s">
        <v>16</v>
      </c>
      <c r="C148" s="21" t="s">
        <v>204</v>
      </c>
      <c r="D148" s="22" t="n">
        <f aca="false">DATE(2026,1,1)-755</f>
        <v>45268</v>
      </c>
      <c r="E148" s="23" t="s">
        <v>57</v>
      </c>
      <c r="F148" s="19" t="n">
        <v>2.4</v>
      </c>
      <c r="G148" s="24" t="n">
        <v>3.06</v>
      </c>
      <c r="H148" s="23" t="s">
        <v>9</v>
      </c>
      <c r="I148" s="25" t="n">
        <v>55350</v>
      </c>
    </row>
    <row r="149" customFormat="false" ht="19.5" hidden="false" customHeight="true" outlineLevel="0" collapsed="false">
      <c r="A149" s="26" t="s">
        <v>211</v>
      </c>
      <c r="B149" s="27" t="s">
        <v>16</v>
      </c>
      <c r="C149" s="27" t="s">
        <v>100</v>
      </c>
      <c r="D149" s="28" t="n">
        <f aca="false">DATE(2026,1,1)-1162</f>
        <v>44861</v>
      </c>
      <c r="E149" s="29" t="s">
        <v>45</v>
      </c>
      <c r="F149" s="15" t="n">
        <v>7.1</v>
      </c>
      <c r="G149" s="30" t="n">
        <v>3.58</v>
      </c>
      <c r="H149" s="29" t="s">
        <v>9</v>
      </c>
      <c r="I149" s="31" t="n">
        <v>67822</v>
      </c>
    </row>
    <row r="150" customFormat="false" ht="19.5" hidden="false" customHeight="true" outlineLevel="0" collapsed="false">
      <c r="A150" s="20" t="s">
        <v>212</v>
      </c>
      <c r="B150" s="21" t="s">
        <v>22</v>
      </c>
      <c r="C150" s="21" t="s">
        <v>38</v>
      </c>
      <c r="D150" s="22" t="n">
        <f aca="false">DATE(2026,1,1)-252</f>
        <v>45771</v>
      </c>
      <c r="E150" s="23" t="s">
        <v>48</v>
      </c>
      <c r="F150" s="19" t="n">
        <v>1.8</v>
      </c>
      <c r="G150" s="24" t="n">
        <v>3.21</v>
      </c>
      <c r="H150" s="23" t="s">
        <v>9</v>
      </c>
      <c r="I150" s="25" t="n">
        <v>87027</v>
      </c>
    </row>
    <row r="151" customFormat="false" ht="19.5" hidden="false" customHeight="true" outlineLevel="0" collapsed="false">
      <c r="A151" s="26" t="s">
        <v>213</v>
      </c>
      <c r="B151" s="27" t="s">
        <v>16</v>
      </c>
      <c r="C151" s="27" t="s">
        <v>158</v>
      </c>
      <c r="D151" s="28" t="n">
        <f aca="false">DATE(2026,1,1)-773</f>
        <v>45250</v>
      </c>
      <c r="E151" s="29" t="s">
        <v>63</v>
      </c>
      <c r="F151" s="15" t="n">
        <v>2.8</v>
      </c>
      <c r="G151" s="30" t="n">
        <v>4.52</v>
      </c>
      <c r="H151" s="29" t="s">
        <v>42</v>
      </c>
      <c r="I151" s="31" t="n">
        <v>50598</v>
      </c>
    </row>
    <row r="152" customFormat="false" ht="19.5" hidden="false" customHeight="true" outlineLevel="0" collapsed="false">
      <c r="A152" s="20" t="s">
        <v>214</v>
      </c>
      <c r="B152" s="21" t="s">
        <v>26</v>
      </c>
      <c r="C152" s="21" t="s">
        <v>110</v>
      </c>
      <c r="D152" s="22" t="n">
        <f aca="false">DATE(2026,1,1)-881</f>
        <v>45142</v>
      </c>
      <c r="E152" s="23" t="s">
        <v>57</v>
      </c>
      <c r="F152" s="19" t="n">
        <v>4.4</v>
      </c>
      <c r="G152" s="24" t="n">
        <v>3.46</v>
      </c>
      <c r="H152" s="23" t="s">
        <v>9</v>
      </c>
      <c r="I152" s="25" t="n">
        <v>125245</v>
      </c>
    </row>
    <row r="153" customFormat="false" ht="19.5" hidden="false" customHeight="true" outlineLevel="0" collapsed="false">
      <c r="A153" s="26" t="s">
        <v>215</v>
      </c>
      <c r="B153" s="27" t="s">
        <v>22</v>
      </c>
      <c r="C153" s="27" t="s">
        <v>50</v>
      </c>
      <c r="D153" s="28" t="n">
        <f aca="false">DATE(2026,1,1)-1165</f>
        <v>44858</v>
      </c>
      <c r="E153" s="29" t="s">
        <v>45</v>
      </c>
      <c r="F153" s="15" t="n">
        <v>4.7</v>
      </c>
      <c r="G153" s="30" t="n">
        <v>4.36</v>
      </c>
      <c r="H153" s="29" t="s">
        <v>9</v>
      </c>
      <c r="I153" s="31" t="n">
        <v>49416</v>
      </c>
    </row>
    <row r="154" customFormat="false" ht="19.5" hidden="false" customHeight="true" outlineLevel="0" collapsed="false">
      <c r="A154" s="20" t="s">
        <v>216</v>
      </c>
      <c r="B154" s="21" t="s">
        <v>18</v>
      </c>
      <c r="C154" s="21" t="s">
        <v>44</v>
      </c>
      <c r="D154" s="22" t="n">
        <f aca="false">DATE(2026,1,1)-548</f>
        <v>45475</v>
      </c>
      <c r="E154" s="23" t="s">
        <v>45</v>
      </c>
      <c r="F154" s="19" t="n">
        <v>6.1</v>
      </c>
      <c r="G154" s="24" t="n">
        <v>3.22</v>
      </c>
      <c r="H154" s="23" t="s">
        <v>9</v>
      </c>
      <c r="I154" s="25" t="n">
        <v>127081</v>
      </c>
    </row>
    <row r="155" customFormat="false" ht="19.5" hidden="false" customHeight="true" outlineLevel="0" collapsed="false">
      <c r="A155" s="26" t="s">
        <v>217</v>
      </c>
      <c r="B155" s="27" t="s">
        <v>22</v>
      </c>
      <c r="C155" s="27" t="s">
        <v>50</v>
      </c>
      <c r="D155" s="28" t="n">
        <f aca="false">DATE(2026,1,1)-1144</f>
        <v>44879</v>
      </c>
      <c r="E155" s="29" t="s">
        <v>57</v>
      </c>
      <c r="F155" s="15" t="n">
        <v>6.4</v>
      </c>
      <c r="G155" s="30" t="n">
        <v>3.24</v>
      </c>
      <c r="H155" s="29" t="s">
        <v>9</v>
      </c>
      <c r="I155" s="31" t="n">
        <v>115219</v>
      </c>
    </row>
    <row r="156" customFormat="false" ht="19.5" hidden="false" customHeight="true" outlineLevel="0" collapsed="false">
      <c r="A156" s="20" t="s">
        <v>218</v>
      </c>
      <c r="B156" s="21" t="s">
        <v>16</v>
      </c>
      <c r="C156" s="21" t="s">
        <v>100</v>
      </c>
      <c r="D156" s="22" t="n">
        <f aca="false">DATE(2026,1,1)-1865</f>
        <v>44158</v>
      </c>
      <c r="E156" s="23" t="s">
        <v>63</v>
      </c>
      <c r="F156" s="19" t="n">
        <v>5.1</v>
      </c>
      <c r="G156" s="24" t="n">
        <v>4.1</v>
      </c>
      <c r="H156" s="23" t="s">
        <v>42</v>
      </c>
      <c r="I156" s="25" t="n">
        <v>78267</v>
      </c>
    </row>
    <row r="157" customFormat="false" ht="19.5" hidden="false" customHeight="true" outlineLevel="0" collapsed="false">
      <c r="A157" s="26" t="s">
        <v>219</v>
      </c>
      <c r="B157" s="27" t="s">
        <v>24</v>
      </c>
      <c r="C157" s="27" t="s">
        <v>47</v>
      </c>
      <c r="D157" s="28" t="n">
        <f aca="false">DATE(2026,1,1)-592</f>
        <v>45431</v>
      </c>
      <c r="E157" s="29" t="s">
        <v>39</v>
      </c>
      <c r="F157" s="15" t="n">
        <v>6.3</v>
      </c>
      <c r="G157" s="30" t="n">
        <v>4.85</v>
      </c>
      <c r="H157" s="29" t="s">
        <v>9</v>
      </c>
      <c r="I157" s="31" t="n">
        <v>90124</v>
      </c>
    </row>
    <row r="158" customFormat="false" ht="19.5" hidden="false" customHeight="true" outlineLevel="0" collapsed="false">
      <c r="A158" s="20" t="s">
        <v>220</v>
      </c>
      <c r="B158" s="21" t="s">
        <v>27</v>
      </c>
      <c r="C158" s="21" t="s">
        <v>54</v>
      </c>
      <c r="D158" s="22" t="n">
        <f aca="false">DATE(2026,1,1)-1063</f>
        <v>44960</v>
      </c>
      <c r="E158" s="23" t="s">
        <v>45</v>
      </c>
      <c r="F158" s="19" t="n">
        <v>4.3</v>
      </c>
      <c r="G158" s="24" t="n">
        <v>4.62</v>
      </c>
      <c r="H158" s="23" t="s">
        <v>9</v>
      </c>
      <c r="I158" s="25" t="n">
        <v>53958</v>
      </c>
    </row>
    <row r="159" customFormat="false" ht="19.5" hidden="false" customHeight="true" outlineLevel="0" collapsed="false">
      <c r="A159" s="26" t="s">
        <v>221</v>
      </c>
      <c r="B159" s="27" t="s">
        <v>27</v>
      </c>
      <c r="C159" s="27" t="s">
        <v>72</v>
      </c>
      <c r="D159" s="28" t="n">
        <f aca="false">DATE(2026,1,1)-345</f>
        <v>45678</v>
      </c>
      <c r="E159" s="29" t="s">
        <v>52</v>
      </c>
      <c r="F159" s="15" t="n">
        <v>5</v>
      </c>
      <c r="G159" s="30" t="n">
        <v>4.66</v>
      </c>
      <c r="H159" s="29" t="s">
        <v>9</v>
      </c>
      <c r="I159" s="31" t="n">
        <v>61430</v>
      </c>
    </row>
    <row r="160" customFormat="false" ht="19.5" hidden="false" customHeight="true" outlineLevel="0" collapsed="false">
      <c r="A160" s="20" t="s">
        <v>222</v>
      </c>
      <c r="B160" s="21" t="s">
        <v>24</v>
      </c>
      <c r="C160" s="21" t="s">
        <v>90</v>
      </c>
      <c r="D160" s="22" t="n">
        <f aca="false">DATE(2026,1,1)-1777</f>
        <v>44246</v>
      </c>
      <c r="E160" s="23" t="s">
        <v>45</v>
      </c>
      <c r="F160" s="19" t="n">
        <v>5.4</v>
      </c>
      <c r="G160" s="24" t="n">
        <v>4.48</v>
      </c>
      <c r="H160" s="23" t="s">
        <v>9</v>
      </c>
      <c r="I160" s="25" t="n">
        <v>95483</v>
      </c>
    </row>
    <row r="161" customFormat="false" ht="19.5" hidden="false" customHeight="true" outlineLevel="0" collapsed="false">
      <c r="A161" s="26" t="s">
        <v>223</v>
      </c>
      <c r="B161" s="27" t="s">
        <v>18</v>
      </c>
      <c r="C161" s="27" t="s">
        <v>84</v>
      </c>
      <c r="D161" s="28" t="n">
        <f aca="false">DATE(2026,1,1)-1539</f>
        <v>44484</v>
      </c>
      <c r="E161" s="29" t="s">
        <v>39</v>
      </c>
      <c r="F161" s="15" t="n">
        <v>0.9</v>
      </c>
      <c r="G161" s="30" t="n">
        <v>4.06</v>
      </c>
      <c r="H161" s="29" t="s">
        <v>9</v>
      </c>
      <c r="I161" s="31" t="n">
        <v>142870</v>
      </c>
    </row>
    <row r="162" customFormat="false" ht="19.5" hidden="false" customHeight="true" outlineLevel="0" collapsed="false">
      <c r="A162" s="20" t="s">
        <v>224</v>
      </c>
      <c r="B162" s="21" t="s">
        <v>20</v>
      </c>
      <c r="C162" s="21" t="s">
        <v>38</v>
      </c>
      <c r="D162" s="22" t="n">
        <f aca="false">DATE(2026,1,1)-603</f>
        <v>45420</v>
      </c>
      <c r="E162" s="23" t="s">
        <v>52</v>
      </c>
      <c r="F162" s="19" t="n">
        <v>5.2</v>
      </c>
      <c r="G162" s="24" t="n">
        <v>3.81</v>
      </c>
      <c r="H162" s="23" t="s">
        <v>42</v>
      </c>
      <c r="I162" s="25" t="n">
        <v>105708</v>
      </c>
    </row>
    <row r="163" customFormat="false" ht="19.5" hidden="false" customHeight="true" outlineLevel="0" collapsed="false">
      <c r="A163" s="26" t="s">
        <v>225</v>
      </c>
      <c r="B163" s="27" t="s">
        <v>18</v>
      </c>
      <c r="C163" s="27" t="s">
        <v>44</v>
      </c>
      <c r="D163" s="28" t="n">
        <f aca="false">DATE(2026,1,1)-1586</f>
        <v>44437</v>
      </c>
      <c r="E163" s="29" t="s">
        <v>63</v>
      </c>
      <c r="F163" s="15" t="n">
        <v>2.3</v>
      </c>
      <c r="G163" s="30" t="n">
        <v>4.2</v>
      </c>
      <c r="H163" s="29" t="s">
        <v>9</v>
      </c>
      <c r="I163" s="31" t="n">
        <v>74101</v>
      </c>
    </row>
    <row r="164" customFormat="false" ht="19.5" hidden="false" customHeight="true" outlineLevel="0" collapsed="false">
      <c r="A164" s="20" t="s">
        <v>226</v>
      </c>
      <c r="B164" s="21" t="s">
        <v>24</v>
      </c>
      <c r="C164" s="21" t="s">
        <v>90</v>
      </c>
      <c r="D164" s="22" t="n">
        <f aca="false">DATE(2026,1,1)-476</f>
        <v>45547</v>
      </c>
      <c r="E164" s="23" t="s">
        <v>63</v>
      </c>
      <c r="F164" s="19" t="n">
        <v>6.5</v>
      </c>
      <c r="G164" s="24" t="n">
        <v>4.27</v>
      </c>
      <c r="H164" s="23" t="s">
        <v>9</v>
      </c>
      <c r="I164" s="25" t="n">
        <v>107361</v>
      </c>
    </row>
    <row r="165" customFormat="false" ht="19.5" hidden="false" customHeight="true" outlineLevel="0" collapsed="false">
      <c r="A165" s="26" t="s">
        <v>227</v>
      </c>
      <c r="B165" s="27" t="s">
        <v>20</v>
      </c>
      <c r="C165" s="27" t="s">
        <v>78</v>
      </c>
      <c r="D165" s="28" t="n">
        <f aca="false">DATE(2026,1,1)-1113</f>
        <v>44910</v>
      </c>
      <c r="E165" s="29" t="s">
        <v>48</v>
      </c>
      <c r="F165" s="15" t="n">
        <v>7.6</v>
      </c>
      <c r="G165" s="30" t="n">
        <v>4.69</v>
      </c>
      <c r="H165" s="29" t="s">
        <v>9</v>
      </c>
      <c r="I165" s="31" t="n">
        <v>126584</v>
      </c>
    </row>
    <row r="166" customFormat="false" ht="19.5" hidden="false" customHeight="true" outlineLevel="0" collapsed="false">
      <c r="A166" s="20" t="s">
        <v>228</v>
      </c>
      <c r="B166" s="21" t="s">
        <v>20</v>
      </c>
      <c r="C166" s="21" t="s">
        <v>47</v>
      </c>
      <c r="D166" s="22" t="n">
        <f aca="false">DATE(2026,1,1)-2197</f>
        <v>43826</v>
      </c>
      <c r="E166" s="23" t="s">
        <v>48</v>
      </c>
      <c r="F166" s="19" t="n">
        <v>2.6</v>
      </c>
      <c r="G166" s="24" t="n">
        <v>4.59</v>
      </c>
      <c r="H166" s="23" t="s">
        <v>9</v>
      </c>
      <c r="I166" s="25" t="n">
        <v>94661</v>
      </c>
    </row>
    <row r="167" customFormat="false" ht="19.5" hidden="false" customHeight="true" outlineLevel="0" collapsed="false">
      <c r="A167" s="26" t="s">
        <v>229</v>
      </c>
      <c r="B167" s="27" t="s">
        <v>27</v>
      </c>
      <c r="C167" s="27" t="s">
        <v>96</v>
      </c>
      <c r="D167" s="28" t="n">
        <f aca="false">DATE(2026,1,1)-1174</f>
        <v>44849</v>
      </c>
      <c r="E167" s="29" t="s">
        <v>39</v>
      </c>
      <c r="F167" s="15" t="n">
        <v>1.2</v>
      </c>
      <c r="G167" s="30" t="n">
        <v>3.62</v>
      </c>
      <c r="H167" s="29" t="s">
        <v>9</v>
      </c>
      <c r="I167" s="31" t="n">
        <v>120101</v>
      </c>
    </row>
    <row r="168" customFormat="false" ht="19.5" hidden="false" customHeight="true" outlineLevel="0" collapsed="false">
      <c r="A168" s="20" t="s">
        <v>230</v>
      </c>
      <c r="B168" s="21" t="s">
        <v>24</v>
      </c>
      <c r="C168" s="21" t="s">
        <v>59</v>
      </c>
      <c r="D168" s="22" t="n">
        <f aca="false">DATE(2026,1,1)-1583</f>
        <v>44440</v>
      </c>
      <c r="E168" s="23" t="s">
        <v>52</v>
      </c>
      <c r="F168" s="19" t="n">
        <v>1.7</v>
      </c>
      <c r="G168" s="24" t="n">
        <v>2.85</v>
      </c>
      <c r="H168" s="23" t="s">
        <v>9</v>
      </c>
      <c r="I168" s="25" t="n">
        <v>58494</v>
      </c>
    </row>
    <row r="169" customFormat="false" ht="19.5" hidden="false" customHeight="true" outlineLevel="0" collapsed="false">
      <c r="A169" s="26" t="s">
        <v>231</v>
      </c>
      <c r="B169" s="27" t="s">
        <v>22</v>
      </c>
      <c r="C169" s="27" t="s">
        <v>50</v>
      </c>
      <c r="D169" s="28" t="n">
        <f aca="false">DATE(2026,1,1)-1837</f>
        <v>44186</v>
      </c>
      <c r="E169" s="29" t="s">
        <v>60</v>
      </c>
      <c r="F169" s="15" t="n">
        <v>5.5</v>
      </c>
      <c r="G169" s="30" t="n">
        <v>4.78</v>
      </c>
      <c r="H169" s="29" t="s">
        <v>9</v>
      </c>
      <c r="I169" s="31" t="n">
        <v>121573</v>
      </c>
    </row>
    <row r="170" customFormat="false" ht="19.5" hidden="false" customHeight="true" outlineLevel="0" collapsed="false">
      <c r="A170" s="20" t="s">
        <v>232</v>
      </c>
      <c r="B170" s="21" t="s">
        <v>24</v>
      </c>
      <c r="C170" s="21" t="s">
        <v>90</v>
      </c>
      <c r="D170" s="22" t="n">
        <f aca="false">DATE(2026,1,1)-2052</f>
        <v>43971</v>
      </c>
      <c r="E170" s="23" t="s">
        <v>57</v>
      </c>
      <c r="F170" s="19" t="n">
        <v>5.1</v>
      </c>
      <c r="G170" s="24" t="n">
        <v>3.76</v>
      </c>
      <c r="H170" s="23" t="s">
        <v>42</v>
      </c>
      <c r="I170" s="25" t="n">
        <v>123192</v>
      </c>
    </row>
    <row r="171" customFormat="false" ht="19.5" hidden="false" customHeight="true" outlineLevel="0" collapsed="false">
      <c r="A171" s="26" t="s">
        <v>233</v>
      </c>
      <c r="B171" s="27" t="s">
        <v>20</v>
      </c>
      <c r="C171" s="27" t="s">
        <v>47</v>
      </c>
      <c r="D171" s="28" t="n">
        <f aca="false">DATE(2026,1,1)-1472</f>
        <v>44551</v>
      </c>
      <c r="E171" s="29" t="s">
        <v>60</v>
      </c>
      <c r="F171" s="15" t="n">
        <v>1.3</v>
      </c>
      <c r="G171" s="30" t="n">
        <v>4.22</v>
      </c>
      <c r="H171" s="29" t="s">
        <v>9</v>
      </c>
      <c r="I171" s="31" t="n">
        <v>66141</v>
      </c>
    </row>
    <row r="172" customFormat="false" ht="19.5" hidden="false" customHeight="true" outlineLevel="0" collapsed="false">
      <c r="A172" s="20" t="s">
        <v>234</v>
      </c>
      <c r="B172" s="21" t="s">
        <v>26</v>
      </c>
      <c r="C172" s="21" t="s">
        <v>110</v>
      </c>
      <c r="D172" s="22" t="n">
        <f aca="false">DATE(2026,1,1)-1225</f>
        <v>44798</v>
      </c>
      <c r="E172" s="23" t="s">
        <v>39</v>
      </c>
      <c r="F172" s="19" t="n">
        <v>2.1</v>
      </c>
      <c r="G172" s="24" t="n">
        <v>3.28</v>
      </c>
      <c r="H172" s="23" t="s">
        <v>9</v>
      </c>
      <c r="I172" s="25" t="n">
        <v>50818</v>
      </c>
    </row>
    <row r="173" customFormat="false" ht="19.5" hidden="false" customHeight="true" outlineLevel="0" collapsed="false">
      <c r="A173" s="26" t="s">
        <v>235</v>
      </c>
      <c r="B173" s="27" t="s">
        <v>20</v>
      </c>
      <c r="C173" s="27" t="s">
        <v>47</v>
      </c>
      <c r="D173" s="28" t="n">
        <f aca="false">DATE(2026,1,1)-1627</f>
        <v>44396</v>
      </c>
      <c r="E173" s="29" t="s">
        <v>45</v>
      </c>
      <c r="F173" s="15" t="n">
        <v>5.5</v>
      </c>
      <c r="G173" s="30" t="n">
        <v>4.56</v>
      </c>
      <c r="H173" s="29" t="s">
        <v>9</v>
      </c>
      <c r="I173" s="31" t="n">
        <v>68129</v>
      </c>
    </row>
    <row r="174" customFormat="false" ht="19.5" hidden="false" customHeight="true" outlineLevel="0" collapsed="false">
      <c r="A174" s="20" t="s">
        <v>236</v>
      </c>
      <c r="B174" s="21" t="s">
        <v>18</v>
      </c>
      <c r="C174" s="21" t="s">
        <v>84</v>
      </c>
      <c r="D174" s="22" t="n">
        <f aca="false">DATE(2026,1,1)-415</f>
        <v>45608</v>
      </c>
      <c r="E174" s="23" t="s">
        <v>57</v>
      </c>
      <c r="F174" s="19" t="n">
        <v>3.4</v>
      </c>
      <c r="G174" s="24" t="n">
        <v>3.92</v>
      </c>
      <c r="H174" s="23" t="s">
        <v>42</v>
      </c>
      <c r="I174" s="25" t="n">
        <v>64209</v>
      </c>
    </row>
    <row r="175" customFormat="false" ht="19.5" hidden="false" customHeight="true" outlineLevel="0" collapsed="false">
      <c r="A175" s="26" t="s">
        <v>237</v>
      </c>
      <c r="B175" s="27" t="s">
        <v>18</v>
      </c>
      <c r="C175" s="27" t="s">
        <v>84</v>
      </c>
      <c r="D175" s="28" t="n">
        <f aca="false">DATE(2026,1,1)-1810</f>
        <v>44213</v>
      </c>
      <c r="E175" s="29" t="s">
        <v>60</v>
      </c>
      <c r="F175" s="15" t="n">
        <v>6.6</v>
      </c>
      <c r="G175" s="30" t="n">
        <v>2.98</v>
      </c>
      <c r="H175" s="29" t="s">
        <v>9</v>
      </c>
      <c r="I175" s="31" t="n">
        <v>88445</v>
      </c>
    </row>
    <row r="176" customFormat="false" ht="19.5" hidden="false" customHeight="true" outlineLevel="0" collapsed="false">
      <c r="A176" s="20" t="s">
        <v>238</v>
      </c>
      <c r="B176" s="21" t="s">
        <v>27</v>
      </c>
      <c r="C176" s="21" t="s">
        <v>54</v>
      </c>
      <c r="D176" s="22" t="n">
        <f aca="false">DATE(2026,1,1)-650</f>
        <v>45373</v>
      </c>
      <c r="E176" s="23" t="s">
        <v>52</v>
      </c>
      <c r="F176" s="19" t="n">
        <v>6.7</v>
      </c>
      <c r="G176" s="24" t="n">
        <v>4.75</v>
      </c>
      <c r="H176" s="23" t="s">
        <v>9</v>
      </c>
      <c r="I176" s="25" t="n">
        <v>97350</v>
      </c>
    </row>
    <row r="177" customFormat="false" ht="19.5" hidden="false" customHeight="true" outlineLevel="0" collapsed="false">
      <c r="A177" s="26" t="s">
        <v>239</v>
      </c>
      <c r="B177" s="27" t="s">
        <v>18</v>
      </c>
      <c r="C177" s="27" t="s">
        <v>84</v>
      </c>
      <c r="D177" s="28" t="n">
        <f aca="false">DATE(2026,1,1)-1257</f>
        <v>44766</v>
      </c>
      <c r="E177" s="29" t="s">
        <v>48</v>
      </c>
      <c r="F177" s="15" t="n">
        <v>2</v>
      </c>
      <c r="G177" s="30" t="n">
        <v>3.98</v>
      </c>
      <c r="H177" s="29" t="s">
        <v>9</v>
      </c>
      <c r="I177" s="31" t="n">
        <v>121895</v>
      </c>
    </row>
    <row r="178" customFormat="false" ht="19.5" hidden="false" customHeight="true" outlineLevel="0" collapsed="false">
      <c r="A178" s="20" t="s">
        <v>240</v>
      </c>
      <c r="B178" s="21" t="s">
        <v>22</v>
      </c>
      <c r="C178" s="21" t="s">
        <v>56</v>
      </c>
      <c r="D178" s="22" t="n">
        <f aca="false">DATE(2026,1,1)-1395</f>
        <v>44628</v>
      </c>
      <c r="E178" s="23" t="s">
        <v>63</v>
      </c>
      <c r="F178" s="19" t="n">
        <v>1.8</v>
      </c>
      <c r="G178" s="24" t="n">
        <v>3.09</v>
      </c>
      <c r="H178" s="23" t="s">
        <v>9</v>
      </c>
      <c r="I178" s="25" t="n">
        <v>63578</v>
      </c>
    </row>
    <row r="179" customFormat="false" ht="19.5" hidden="false" customHeight="true" outlineLevel="0" collapsed="false">
      <c r="A179" s="26" t="s">
        <v>241</v>
      </c>
      <c r="B179" s="27" t="s">
        <v>22</v>
      </c>
      <c r="C179" s="27" t="s">
        <v>38</v>
      </c>
      <c r="D179" s="28" t="n">
        <f aca="false">DATE(2026,1,1)-2033</f>
        <v>43990</v>
      </c>
      <c r="E179" s="29" t="s">
        <v>60</v>
      </c>
      <c r="F179" s="15" t="n">
        <v>7.1</v>
      </c>
      <c r="G179" s="30" t="n">
        <v>4.26</v>
      </c>
      <c r="H179" s="29" t="s">
        <v>9</v>
      </c>
      <c r="I179" s="31" t="n">
        <v>54883</v>
      </c>
    </row>
    <row r="180" customFormat="false" ht="19.5" hidden="false" customHeight="true" outlineLevel="0" collapsed="false">
      <c r="A180" s="20" t="s">
        <v>242</v>
      </c>
      <c r="B180" s="21" t="s">
        <v>24</v>
      </c>
      <c r="C180" s="21" t="s">
        <v>90</v>
      </c>
      <c r="D180" s="22" t="n">
        <f aca="false">DATE(2026,1,1)-248</f>
        <v>45775</v>
      </c>
      <c r="E180" s="23" t="s">
        <v>52</v>
      </c>
      <c r="F180" s="19" t="n">
        <v>4.2</v>
      </c>
      <c r="G180" s="24" t="n">
        <v>4.22</v>
      </c>
      <c r="H180" s="23" t="s">
        <v>9</v>
      </c>
      <c r="I180" s="25" t="n">
        <v>102966</v>
      </c>
    </row>
    <row r="181" customFormat="false" ht="19.5" hidden="false" customHeight="true" outlineLevel="0" collapsed="false">
      <c r="A181" s="26" t="s">
        <v>243</v>
      </c>
      <c r="B181" s="27" t="s">
        <v>26</v>
      </c>
      <c r="C181" s="27" t="s">
        <v>41</v>
      </c>
      <c r="D181" s="28" t="n">
        <f aca="false">DATE(2026,1,1)-293</f>
        <v>45730</v>
      </c>
      <c r="E181" s="29" t="s">
        <v>63</v>
      </c>
      <c r="F181" s="15" t="n">
        <v>2.1</v>
      </c>
      <c r="G181" s="30" t="n">
        <v>3</v>
      </c>
      <c r="H181" s="29" t="s">
        <v>42</v>
      </c>
      <c r="I181" s="31" t="n">
        <v>127147</v>
      </c>
    </row>
    <row r="182" customFormat="false" ht="19.5" hidden="false" customHeight="true" outlineLevel="0" collapsed="false">
      <c r="A182" s="20" t="s">
        <v>244</v>
      </c>
      <c r="B182" s="21" t="s">
        <v>22</v>
      </c>
      <c r="C182" s="21" t="s">
        <v>38</v>
      </c>
      <c r="D182" s="22" t="n">
        <f aca="false">DATE(2026,1,1)-135</f>
        <v>45888</v>
      </c>
      <c r="E182" s="23" t="s">
        <v>52</v>
      </c>
      <c r="F182" s="19" t="n">
        <v>2.2</v>
      </c>
      <c r="G182" s="24" t="n">
        <v>3.32</v>
      </c>
      <c r="H182" s="23" t="s">
        <v>9</v>
      </c>
      <c r="I182" s="25" t="n">
        <v>67465</v>
      </c>
    </row>
    <row r="183" customFormat="false" ht="19.5" hidden="false" customHeight="true" outlineLevel="0" collapsed="false">
      <c r="A183" s="26" t="s">
        <v>245</v>
      </c>
      <c r="B183" s="27" t="s">
        <v>18</v>
      </c>
      <c r="C183" s="27" t="s">
        <v>84</v>
      </c>
      <c r="D183" s="28" t="n">
        <f aca="false">DATE(2026,1,1)-978</f>
        <v>45045</v>
      </c>
      <c r="E183" s="29" t="s">
        <v>60</v>
      </c>
      <c r="F183" s="15" t="n">
        <v>3.4</v>
      </c>
      <c r="G183" s="30" t="n">
        <v>4.56</v>
      </c>
      <c r="H183" s="29" t="s">
        <v>9</v>
      </c>
      <c r="I183" s="31" t="n">
        <v>136333</v>
      </c>
    </row>
    <row r="184" customFormat="false" ht="19.5" hidden="false" customHeight="true" outlineLevel="0" collapsed="false">
      <c r="A184" s="20" t="s">
        <v>246</v>
      </c>
      <c r="B184" s="21" t="s">
        <v>16</v>
      </c>
      <c r="C184" s="21" t="s">
        <v>100</v>
      </c>
      <c r="D184" s="22" t="n">
        <f aca="false">DATE(2026,1,1)-2023</f>
        <v>44000</v>
      </c>
      <c r="E184" s="23" t="s">
        <v>57</v>
      </c>
      <c r="F184" s="19" t="n">
        <v>6.2</v>
      </c>
      <c r="G184" s="24" t="n">
        <v>3.67</v>
      </c>
      <c r="H184" s="23" t="s">
        <v>9</v>
      </c>
      <c r="I184" s="25" t="n">
        <v>142841</v>
      </c>
    </row>
    <row r="185" customFormat="false" ht="19.5" hidden="false" customHeight="true" outlineLevel="0" collapsed="false">
      <c r="A185" s="26" t="s">
        <v>247</v>
      </c>
      <c r="B185" s="27" t="s">
        <v>18</v>
      </c>
      <c r="C185" s="27" t="s">
        <v>66</v>
      </c>
      <c r="D185" s="28" t="n">
        <f aca="false">DATE(2026,1,1)-1351</f>
        <v>44672</v>
      </c>
      <c r="E185" s="29" t="s">
        <v>39</v>
      </c>
      <c r="F185" s="15" t="n">
        <v>2.9</v>
      </c>
      <c r="G185" s="30" t="n">
        <v>3.37</v>
      </c>
      <c r="H185" s="29" t="s">
        <v>9</v>
      </c>
      <c r="I185" s="31" t="n">
        <v>77319</v>
      </c>
    </row>
    <row r="186" customFormat="false" ht="19.5" hidden="false" customHeight="true" outlineLevel="0" collapsed="false">
      <c r="A186" s="20" t="s">
        <v>248</v>
      </c>
      <c r="B186" s="21" t="s">
        <v>22</v>
      </c>
      <c r="C186" s="21" t="s">
        <v>38</v>
      </c>
      <c r="D186" s="22" t="n">
        <f aca="false">DATE(2026,1,1)-1943</f>
        <v>44080</v>
      </c>
      <c r="E186" s="23" t="s">
        <v>60</v>
      </c>
      <c r="F186" s="19" t="n">
        <v>5.2</v>
      </c>
      <c r="G186" s="24" t="n">
        <v>3.62</v>
      </c>
      <c r="H186" s="23" t="s">
        <v>9</v>
      </c>
      <c r="I186" s="25" t="n">
        <v>48658</v>
      </c>
    </row>
    <row r="187" customFormat="false" ht="19.5" hidden="false" customHeight="true" outlineLevel="0" collapsed="false">
      <c r="A187" s="26" t="s">
        <v>249</v>
      </c>
      <c r="B187" s="27" t="s">
        <v>16</v>
      </c>
      <c r="C187" s="27" t="s">
        <v>100</v>
      </c>
      <c r="D187" s="28" t="n">
        <f aca="false">DATE(2026,1,1)-2160</f>
        <v>43863</v>
      </c>
      <c r="E187" s="29" t="s">
        <v>57</v>
      </c>
      <c r="F187" s="15" t="n">
        <v>4.4</v>
      </c>
      <c r="G187" s="30" t="n">
        <v>4.7</v>
      </c>
      <c r="H187" s="29" t="s">
        <v>9</v>
      </c>
      <c r="I187" s="31" t="n">
        <v>110656</v>
      </c>
    </row>
    <row r="188" customFormat="false" ht="19.5" hidden="false" customHeight="true" outlineLevel="0" collapsed="false">
      <c r="A188" s="20" t="s">
        <v>250</v>
      </c>
      <c r="B188" s="21" t="s">
        <v>27</v>
      </c>
      <c r="C188" s="21" t="s">
        <v>54</v>
      </c>
      <c r="D188" s="22" t="n">
        <f aca="false">DATE(2026,1,1)-1957</f>
        <v>44066</v>
      </c>
      <c r="E188" s="23" t="s">
        <v>57</v>
      </c>
      <c r="F188" s="19" t="n">
        <v>6.9</v>
      </c>
      <c r="G188" s="24" t="n">
        <v>4.35</v>
      </c>
      <c r="H188" s="23" t="s">
        <v>9</v>
      </c>
      <c r="I188" s="25" t="n">
        <v>69396</v>
      </c>
    </row>
    <row r="189" customFormat="false" ht="19.5" hidden="false" customHeight="true" outlineLevel="0" collapsed="false">
      <c r="A189" s="26" t="s">
        <v>251</v>
      </c>
      <c r="B189" s="27" t="s">
        <v>18</v>
      </c>
      <c r="C189" s="27" t="s">
        <v>44</v>
      </c>
      <c r="D189" s="28" t="n">
        <f aca="false">DATE(2026,1,1)-1602</f>
        <v>44421</v>
      </c>
      <c r="E189" s="29" t="s">
        <v>60</v>
      </c>
      <c r="F189" s="15" t="n">
        <v>0.8</v>
      </c>
      <c r="G189" s="30" t="n">
        <v>4.21</v>
      </c>
      <c r="H189" s="29" t="s">
        <v>42</v>
      </c>
      <c r="I189" s="31" t="n">
        <v>107833</v>
      </c>
    </row>
    <row r="190" customFormat="false" ht="19.5" hidden="false" customHeight="true" outlineLevel="0" collapsed="false">
      <c r="A190" s="20" t="s">
        <v>252</v>
      </c>
      <c r="B190" s="21" t="s">
        <v>24</v>
      </c>
      <c r="C190" s="21" t="s">
        <v>90</v>
      </c>
      <c r="D190" s="22" t="n">
        <f aca="false">DATE(2026,1,1)-1683</f>
        <v>44340</v>
      </c>
      <c r="E190" s="23" t="s">
        <v>57</v>
      </c>
      <c r="F190" s="19" t="n">
        <v>2</v>
      </c>
      <c r="G190" s="24" t="n">
        <v>4.63</v>
      </c>
      <c r="H190" s="23" t="s">
        <v>9</v>
      </c>
      <c r="I190" s="25" t="n">
        <v>114478</v>
      </c>
    </row>
    <row r="191" customFormat="false" ht="19.5" hidden="false" customHeight="true" outlineLevel="0" collapsed="false">
      <c r="A191" s="26" t="s">
        <v>253</v>
      </c>
      <c r="B191" s="27" t="s">
        <v>18</v>
      </c>
      <c r="C191" s="27" t="s">
        <v>66</v>
      </c>
      <c r="D191" s="28" t="n">
        <f aca="false">DATE(2026,1,1)-730</f>
        <v>45293</v>
      </c>
      <c r="E191" s="29" t="s">
        <v>63</v>
      </c>
      <c r="F191" s="15" t="n">
        <v>6.3</v>
      </c>
      <c r="G191" s="30" t="n">
        <v>3.49</v>
      </c>
      <c r="H191" s="29" t="s">
        <v>9</v>
      </c>
      <c r="I191" s="31" t="n">
        <v>110546</v>
      </c>
    </row>
    <row r="192" customFormat="false" ht="19.5" hidden="false" customHeight="true" outlineLevel="0" collapsed="false">
      <c r="A192" s="20" t="s">
        <v>254</v>
      </c>
      <c r="B192" s="21" t="s">
        <v>16</v>
      </c>
      <c r="C192" s="21" t="s">
        <v>158</v>
      </c>
      <c r="D192" s="22" t="n">
        <f aca="false">DATE(2026,1,1)-655</f>
        <v>45368</v>
      </c>
      <c r="E192" s="23" t="s">
        <v>57</v>
      </c>
      <c r="F192" s="19" t="n">
        <v>6.1</v>
      </c>
      <c r="G192" s="24" t="n">
        <v>3.12</v>
      </c>
      <c r="H192" s="23" t="s">
        <v>9</v>
      </c>
      <c r="I192" s="25" t="n">
        <v>74607</v>
      </c>
    </row>
    <row r="193" customFormat="false" ht="19.5" hidden="false" customHeight="true" outlineLevel="0" collapsed="false">
      <c r="A193" s="26" t="s">
        <v>255</v>
      </c>
      <c r="B193" s="27" t="s">
        <v>20</v>
      </c>
      <c r="C193" s="27" t="s">
        <v>78</v>
      </c>
      <c r="D193" s="28" t="n">
        <f aca="false">DATE(2026,1,1)-618</f>
        <v>45405</v>
      </c>
      <c r="E193" s="29" t="s">
        <v>63</v>
      </c>
      <c r="F193" s="15" t="n">
        <v>1.6</v>
      </c>
      <c r="G193" s="30" t="n">
        <v>3.34</v>
      </c>
      <c r="H193" s="29" t="s">
        <v>9</v>
      </c>
      <c r="I193" s="31" t="n">
        <v>106497</v>
      </c>
    </row>
    <row r="194" customFormat="false" ht="19.5" hidden="false" customHeight="true" outlineLevel="0" collapsed="false">
      <c r="A194" s="20" t="s">
        <v>256</v>
      </c>
      <c r="B194" s="21" t="s">
        <v>27</v>
      </c>
      <c r="C194" s="21" t="s">
        <v>96</v>
      </c>
      <c r="D194" s="22" t="n">
        <f aca="false">DATE(2026,1,1)-1626</f>
        <v>44397</v>
      </c>
      <c r="E194" s="23" t="s">
        <v>48</v>
      </c>
      <c r="F194" s="19" t="n">
        <v>4.7</v>
      </c>
      <c r="G194" s="24" t="n">
        <v>4.6</v>
      </c>
      <c r="H194" s="23" t="s">
        <v>9</v>
      </c>
      <c r="I194" s="25" t="n">
        <v>112656</v>
      </c>
    </row>
    <row r="195" customFormat="false" ht="19.5" hidden="false" customHeight="true" outlineLevel="0" collapsed="false">
      <c r="A195" s="26" t="s">
        <v>257</v>
      </c>
      <c r="B195" s="27" t="s">
        <v>22</v>
      </c>
      <c r="C195" s="27" t="s">
        <v>56</v>
      </c>
      <c r="D195" s="28" t="n">
        <f aca="false">DATE(2026,1,1)-275</f>
        <v>45748</v>
      </c>
      <c r="E195" s="29" t="s">
        <v>63</v>
      </c>
      <c r="F195" s="15" t="n">
        <v>3.3</v>
      </c>
      <c r="G195" s="30" t="n">
        <v>4.16</v>
      </c>
      <c r="H195" s="29" t="s">
        <v>9</v>
      </c>
      <c r="I195" s="31" t="n">
        <v>86754</v>
      </c>
    </row>
    <row r="196" customFormat="false" ht="19.5" hidden="false" customHeight="true" outlineLevel="0" collapsed="false">
      <c r="A196" s="20" t="s">
        <v>258</v>
      </c>
      <c r="B196" s="21" t="s">
        <v>16</v>
      </c>
      <c r="C196" s="21" t="s">
        <v>204</v>
      </c>
      <c r="D196" s="22" t="n">
        <f aca="false">DATE(2026,1,1)-603</f>
        <v>45420</v>
      </c>
      <c r="E196" s="23" t="s">
        <v>48</v>
      </c>
      <c r="F196" s="19" t="n">
        <v>4.3</v>
      </c>
      <c r="G196" s="24" t="n">
        <v>3.52</v>
      </c>
      <c r="H196" s="23" t="s">
        <v>9</v>
      </c>
      <c r="I196" s="25" t="n">
        <v>94699</v>
      </c>
    </row>
    <row r="197" customFormat="false" ht="19.5" hidden="false" customHeight="true" outlineLevel="0" collapsed="false">
      <c r="A197" s="26" t="s">
        <v>259</v>
      </c>
      <c r="B197" s="27" t="s">
        <v>26</v>
      </c>
      <c r="C197" s="27" t="s">
        <v>41</v>
      </c>
      <c r="D197" s="28" t="n">
        <f aca="false">DATE(2026,1,1)-999</f>
        <v>45024</v>
      </c>
      <c r="E197" s="29" t="s">
        <v>45</v>
      </c>
      <c r="F197" s="15" t="n">
        <v>5.9</v>
      </c>
      <c r="G197" s="30" t="n">
        <v>3.52</v>
      </c>
      <c r="H197" s="29" t="s">
        <v>9</v>
      </c>
      <c r="I197" s="31" t="n">
        <v>125859</v>
      </c>
    </row>
    <row r="198" customFormat="false" ht="19.5" hidden="false" customHeight="true" outlineLevel="0" collapsed="false">
      <c r="A198" s="20" t="s">
        <v>260</v>
      </c>
      <c r="B198" s="21" t="s">
        <v>18</v>
      </c>
      <c r="C198" s="21" t="s">
        <v>66</v>
      </c>
      <c r="D198" s="22" t="n">
        <f aca="false">DATE(2026,1,1)-217</f>
        <v>45806</v>
      </c>
      <c r="E198" s="23" t="s">
        <v>39</v>
      </c>
      <c r="F198" s="19" t="n">
        <v>3.1</v>
      </c>
      <c r="G198" s="24" t="n">
        <v>2.88</v>
      </c>
      <c r="H198" s="23" t="s">
        <v>9</v>
      </c>
      <c r="I198" s="25" t="n">
        <v>78770</v>
      </c>
    </row>
    <row r="199" customFormat="false" ht="19.5" hidden="false" customHeight="true" outlineLevel="0" collapsed="false">
      <c r="A199" s="26" t="s">
        <v>261</v>
      </c>
      <c r="B199" s="27" t="s">
        <v>18</v>
      </c>
      <c r="C199" s="27" t="s">
        <v>84</v>
      </c>
      <c r="D199" s="28" t="n">
        <f aca="false">DATE(2026,1,1)-379</f>
        <v>45644</v>
      </c>
      <c r="E199" s="29" t="s">
        <v>52</v>
      </c>
      <c r="F199" s="15" t="n">
        <v>5.4</v>
      </c>
      <c r="G199" s="30" t="n">
        <v>3.4</v>
      </c>
      <c r="H199" s="29" t="s">
        <v>9</v>
      </c>
      <c r="I199" s="31" t="n">
        <v>56032</v>
      </c>
    </row>
    <row r="200" customFormat="false" ht="19.5" hidden="false" customHeight="true" outlineLevel="0" collapsed="false">
      <c r="A200" s="20" t="s">
        <v>262</v>
      </c>
      <c r="B200" s="21" t="s">
        <v>24</v>
      </c>
      <c r="C200" s="21" t="s">
        <v>47</v>
      </c>
      <c r="D200" s="22" t="n">
        <f aca="false">DATE(2026,1,1)-2196</f>
        <v>43827</v>
      </c>
      <c r="E200" s="23" t="s">
        <v>57</v>
      </c>
      <c r="F200" s="19" t="n">
        <v>2.8</v>
      </c>
      <c r="G200" s="24" t="n">
        <v>3.01</v>
      </c>
      <c r="H200" s="23" t="s">
        <v>9</v>
      </c>
      <c r="I200" s="25" t="n">
        <v>74216</v>
      </c>
    </row>
    <row r="201" customFormat="false" ht="19.5" hidden="false" customHeight="true" outlineLevel="0" collapsed="false">
      <c r="A201" s="26" t="s">
        <v>263</v>
      </c>
      <c r="B201" s="27" t="s">
        <v>18</v>
      </c>
      <c r="C201" s="27" t="s">
        <v>84</v>
      </c>
      <c r="D201" s="28" t="n">
        <f aca="false">DATE(2026,1,1)-616</f>
        <v>45407</v>
      </c>
      <c r="E201" s="29" t="s">
        <v>45</v>
      </c>
      <c r="F201" s="15" t="n">
        <v>7.7</v>
      </c>
      <c r="G201" s="30" t="n">
        <v>4.24</v>
      </c>
      <c r="H201" s="29" t="s">
        <v>9</v>
      </c>
      <c r="I201" s="31" t="n">
        <v>111761</v>
      </c>
    </row>
    <row r="202" customFormat="false" ht="19.5" hidden="false" customHeight="true" outlineLevel="0" collapsed="false">
      <c r="A202" s="20" t="s">
        <v>264</v>
      </c>
      <c r="B202" s="21" t="s">
        <v>20</v>
      </c>
      <c r="C202" s="21" t="s">
        <v>38</v>
      </c>
      <c r="D202" s="22" t="n">
        <f aca="false">DATE(2026,1,1)-352</f>
        <v>45671</v>
      </c>
      <c r="E202" s="23" t="s">
        <v>52</v>
      </c>
      <c r="F202" s="19" t="n">
        <v>7.1</v>
      </c>
      <c r="G202" s="24" t="n">
        <v>4.89</v>
      </c>
      <c r="H202" s="23" t="s">
        <v>9</v>
      </c>
      <c r="I202" s="25" t="n">
        <v>135700</v>
      </c>
    </row>
    <row r="203" customFormat="false" ht="19.5" hidden="false" customHeight="true" outlineLevel="0" collapsed="false">
      <c r="A203" s="26" t="s">
        <v>265</v>
      </c>
      <c r="B203" s="27" t="s">
        <v>18</v>
      </c>
      <c r="C203" s="27" t="s">
        <v>44</v>
      </c>
      <c r="D203" s="28" t="n">
        <f aca="false">DATE(2026,1,1)-1163</f>
        <v>44860</v>
      </c>
      <c r="E203" s="29" t="s">
        <v>45</v>
      </c>
      <c r="F203" s="15" t="n">
        <v>4.1</v>
      </c>
      <c r="G203" s="30" t="n">
        <v>4.12</v>
      </c>
      <c r="H203" s="29" t="s">
        <v>42</v>
      </c>
      <c r="I203" s="31" t="n">
        <v>46879</v>
      </c>
    </row>
    <row r="204" customFormat="false" ht="19.5" hidden="false" customHeight="true" outlineLevel="0" collapsed="false">
      <c r="A204" s="20" t="s">
        <v>266</v>
      </c>
      <c r="B204" s="21" t="s">
        <v>18</v>
      </c>
      <c r="C204" s="21" t="s">
        <v>84</v>
      </c>
      <c r="D204" s="22" t="n">
        <f aca="false">DATE(2026,1,1)-222</f>
        <v>45801</v>
      </c>
      <c r="E204" s="23" t="s">
        <v>57</v>
      </c>
      <c r="F204" s="19" t="n">
        <v>7.1</v>
      </c>
      <c r="G204" s="24" t="n">
        <v>3.52</v>
      </c>
      <c r="H204" s="23" t="s">
        <v>9</v>
      </c>
      <c r="I204" s="25" t="n">
        <v>113875</v>
      </c>
    </row>
    <row r="205" customFormat="false" ht="19.5" hidden="false" customHeight="true" outlineLevel="0" collapsed="false">
      <c r="A205" s="26" t="s">
        <v>267</v>
      </c>
      <c r="B205" s="27" t="s">
        <v>18</v>
      </c>
      <c r="C205" s="27" t="s">
        <v>84</v>
      </c>
      <c r="D205" s="28" t="n">
        <f aca="false">DATE(2026,1,1)-1631</f>
        <v>44392</v>
      </c>
      <c r="E205" s="29" t="s">
        <v>63</v>
      </c>
      <c r="F205" s="15" t="n">
        <v>3.8</v>
      </c>
      <c r="G205" s="30" t="n">
        <v>3.22</v>
      </c>
      <c r="H205" s="29" t="s">
        <v>42</v>
      </c>
      <c r="I205" s="31" t="n">
        <v>89144</v>
      </c>
    </row>
    <row r="206" customFormat="false" ht="19.5" hidden="false" customHeight="true" outlineLevel="0" collapsed="false">
      <c r="A206" s="20" t="s">
        <v>268</v>
      </c>
      <c r="B206" s="21" t="s">
        <v>20</v>
      </c>
      <c r="C206" s="21" t="s">
        <v>38</v>
      </c>
      <c r="D206" s="22" t="n">
        <f aca="false">DATE(2026,1,1)-562</f>
        <v>45461</v>
      </c>
      <c r="E206" s="23" t="s">
        <v>57</v>
      </c>
      <c r="F206" s="19" t="n">
        <v>7.6</v>
      </c>
      <c r="G206" s="24" t="n">
        <v>2.9</v>
      </c>
      <c r="H206" s="23" t="s">
        <v>9</v>
      </c>
      <c r="I206" s="25" t="n">
        <v>78237</v>
      </c>
    </row>
    <row r="207" customFormat="false" ht="19.5" hidden="false" customHeight="true" outlineLevel="0" collapsed="false">
      <c r="A207" s="26" t="s">
        <v>269</v>
      </c>
      <c r="B207" s="27" t="s">
        <v>18</v>
      </c>
      <c r="C207" s="27" t="s">
        <v>44</v>
      </c>
      <c r="D207" s="28" t="n">
        <f aca="false">DATE(2026,1,1)-1306</f>
        <v>44717</v>
      </c>
      <c r="E207" s="29" t="s">
        <v>63</v>
      </c>
      <c r="F207" s="15" t="n">
        <v>1.2</v>
      </c>
      <c r="G207" s="30" t="n">
        <v>3.07</v>
      </c>
      <c r="H207" s="29" t="s">
        <v>9</v>
      </c>
      <c r="I207" s="31" t="n">
        <v>54248</v>
      </c>
    </row>
    <row r="208" customFormat="false" ht="19.5" hidden="false" customHeight="true" outlineLevel="0" collapsed="false">
      <c r="A208" s="20" t="s">
        <v>270</v>
      </c>
      <c r="B208" s="21" t="s">
        <v>20</v>
      </c>
      <c r="C208" s="21" t="s">
        <v>78</v>
      </c>
      <c r="D208" s="22" t="n">
        <f aca="false">DATE(2026,1,1)-1449</f>
        <v>44574</v>
      </c>
      <c r="E208" s="23" t="s">
        <v>39</v>
      </c>
      <c r="F208" s="19" t="n">
        <v>6.8</v>
      </c>
      <c r="G208" s="24" t="n">
        <v>3.18</v>
      </c>
      <c r="H208" s="23" t="s">
        <v>9</v>
      </c>
      <c r="I208" s="25" t="n">
        <v>67551</v>
      </c>
    </row>
    <row r="209" customFormat="false" ht="19.5" hidden="false" customHeight="true" outlineLevel="0" collapsed="false">
      <c r="A209" s="26" t="s">
        <v>271</v>
      </c>
      <c r="B209" s="27" t="s">
        <v>18</v>
      </c>
      <c r="C209" s="27" t="s">
        <v>66</v>
      </c>
      <c r="D209" s="28" t="n">
        <f aca="false">DATE(2026,1,1)-249</f>
        <v>45774</v>
      </c>
      <c r="E209" s="29" t="s">
        <v>63</v>
      </c>
      <c r="F209" s="15" t="n">
        <v>6.5</v>
      </c>
      <c r="G209" s="30" t="n">
        <v>3.48</v>
      </c>
      <c r="H209" s="29" t="s">
        <v>9</v>
      </c>
      <c r="I209" s="31" t="n">
        <v>103654</v>
      </c>
    </row>
    <row r="210" customFormat="false" ht="19.5" hidden="false" customHeight="true" outlineLevel="0" collapsed="false">
      <c r="A210" s="20" t="s">
        <v>272</v>
      </c>
      <c r="B210" s="21" t="s">
        <v>20</v>
      </c>
      <c r="C210" s="21" t="s">
        <v>78</v>
      </c>
      <c r="D210" s="22" t="n">
        <f aca="false">DATE(2026,1,1)-1579</f>
        <v>44444</v>
      </c>
      <c r="E210" s="23" t="s">
        <v>52</v>
      </c>
      <c r="F210" s="19" t="n">
        <v>4.5</v>
      </c>
      <c r="G210" s="24" t="n">
        <v>4.43</v>
      </c>
      <c r="H210" s="23" t="s">
        <v>9</v>
      </c>
      <c r="I210" s="25" t="n">
        <v>142248</v>
      </c>
    </row>
    <row r="211" customFormat="false" ht="19.5" hidden="false" customHeight="true" outlineLevel="0" collapsed="false">
      <c r="A211" s="26" t="s">
        <v>273</v>
      </c>
      <c r="B211" s="27" t="s">
        <v>27</v>
      </c>
      <c r="C211" s="27" t="s">
        <v>72</v>
      </c>
      <c r="D211" s="28" t="n">
        <f aca="false">DATE(2026,1,1)-1181</f>
        <v>44842</v>
      </c>
      <c r="E211" s="29" t="s">
        <v>63</v>
      </c>
      <c r="F211" s="15" t="n">
        <v>2.3</v>
      </c>
      <c r="G211" s="30" t="n">
        <v>4.54</v>
      </c>
      <c r="H211" s="29" t="s">
        <v>9</v>
      </c>
      <c r="I211" s="31" t="n">
        <v>52066</v>
      </c>
    </row>
    <row r="212" customFormat="false" ht="19.5" hidden="false" customHeight="true" outlineLevel="0" collapsed="false">
      <c r="A212" s="20" t="s">
        <v>274</v>
      </c>
      <c r="B212" s="21" t="s">
        <v>16</v>
      </c>
      <c r="C212" s="21" t="s">
        <v>100</v>
      </c>
      <c r="D212" s="22" t="n">
        <f aca="false">DATE(2026,1,1)-396</f>
        <v>45627</v>
      </c>
      <c r="E212" s="23" t="s">
        <v>57</v>
      </c>
      <c r="F212" s="19" t="n">
        <v>5.1</v>
      </c>
      <c r="G212" s="24" t="n">
        <v>4.07</v>
      </c>
      <c r="H212" s="23" t="s">
        <v>9</v>
      </c>
      <c r="I212" s="25" t="n">
        <v>68889</v>
      </c>
    </row>
    <row r="213" customFormat="false" ht="19.5" hidden="false" customHeight="true" outlineLevel="0" collapsed="false">
      <c r="A213" s="26" t="s">
        <v>275</v>
      </c>
      <c r="B213" s="27" t="s">
        <v>18</v>
      </c>
      <c r="C213" s="27" t="s">
        <v>84</v>
      </c>
      <c r="D213" s="28" t="n">
        <f aca="false">DATE(2026,1,1)-419</f>
        <v>45604</v>
      </c>
      <c r="E213" s="29" t="s">
        <v>45</v>
      </c>
      <c r="F213" s="15" t="n">
        <v>5</v>
      </c>
      <c r="G213" s="30" t="n">
        <v>4.67</v>
      </c>
      <c r="H213" s="29" t="s">
        <v>9</v>
      </c>
      <c r="I213" s="31" t="n">
        <v>102878</v>
      </c>
    </row>
    <row r="214" customFormat="false" ht="19.5" hidden="false" customHeight="true" outlineLevel="0" collapsed="false">
      <c r="A214" s="20" t="s">
        <v>276</v>
      </c>
      <c r="B214" s="21" t="s">
        <v>24</v>
      </c>
      <c r="C214" s="21" t="s">
        <v>47</v>
      </c>
      <c r="D214" s="22" t="n">
        <f aca="false">DATE(2026,1,1)-572</f>
        <v>45451</v>
      </c>
      <c r="E214" s="23" t="s">
        <v>60</v>
      </c>
      <c r="F214" s="19" t="n">
        <v>3.5</v>
      </c>
      <c r="G214" s="24" t="n">
        <v>3.74</v>
      </c>
      <c r="H214" s="23" t="s">
        <v>9</v>
      </c>
      <c r="I214" s="25" t="n">
        <v>104885</v>
      </c>
    </row>
    <row r="215" customFormat="false" ht="19.5" hidden="false" customHeight="true" outlineLevel="0" collapsed="false">
      <c r="A215" s="26" t="s">
        <v>277</v>
      </c>
      <c r="B215" s="27" t="s">
        <v>27</v>
      </c>
      <c r="C215" s="27" t="s">
        <v>54</v>
      </c>
      <c r="D215" s="28" t="n">
        <f aca="false">DATE(2026,1,1)-1488</f>
        <v>44535</v>
      </c>
      <c r="E215" s="29" t="s">
        <v>48</v>
      </c>
      <c r="F215" s="15" t="n">
        <v>6.9</v>
      </c>
      <c r="G215" s="30" t="n">
        <v>4.45</v>
      </c>
      <c r="H215" s="29" t="s">
        <v>42</v>
      </c>
      <c r="I215" s="31" t="n">
        <v>113167</v>
      </c>
    </row>
    <row r="216" customFormat="false" ht="19.5" hidden="false" customHeight="true" outlineLevel="0" collapsed="false">
      <c r="A216" s="20" t="s">
        <v>278</v>
      </c>
      <c r="B216" s="21" t="s">
        <v>18</v>
      </c>
      <c r="C216" s="21" t="s">
        <v>84</v>
      </c>
      <c r="D216" s="22" t="n">
        <f aca="false">DATE(2026,1,1)-2054</f>
        <v>43969</v>
      </c>
      <c r="E216" s="23" t="s">
        <v>63</v>
      </c>
      <c r="F216" s="19" t="n">
        <v>5.3</v>
      </c>
      <c r="G216" s="24" t="n">
        <v>3.09</v>
      </c>
      <c r="H216" s="23" t="s">
        <v>9</v>
      </c>
      <c r="I216" s="25" t="n">
        <v>120885</v>
      </c>
    </row>
    <row r="217" customFormat="false" ht="19.5" hidden="false" customHeight="true" outlineLevel="0" collapsed="false">
      <c r="A217" s="26" t="s">
        <v>279</v>
      </c>
      <c r="B217" s="27" t="s">
        <v>26</v>
      </c>
      <c r="C217" s="27" t="s">
        <v>81</v>
      </c>
      <c r="D217" s="28" t="n">
        <f aca="false">DATE(2026,1,1)-1772</f>
        <v>44251</v>
      </c>
      <c r="E217" s="29" t="s">
        <v>45</v>
      </c>
      <c r="F217" s="15" t="n">
        <v>5.5</v>
      </c>
      <c r="G217" s="30" t="n">
        <v>3.36</v>
      </c>
      <c r="H217" s="29" t="s">
        <v>9</v>
      </c>
      <c r="I217" s="31" t="n">
        <v>83585</v>
      </c>
    </row>
    <row r="218" customFormat="false" ht="19.5" hidden="false" customHeight="true" outlineLevel="0" collapsed="false">
      <c r="A218" s="20" t="s">
        <v>280</v>
      </c>
      <c r="B218" s="21" t="s">
        <v>20</v>
      </c>
      <c r="C218" s="21" t="s">
        <v>38</v>
      </c>
      <c r="D218" s="22" t="n">
        <f aca="false">DATE(2026,1,1)-1526</f>
        <v>44497</v>
      </c>
      <c r="E218" s="23" t="s">
        <v>52</v>
      </c>
      <c r="F218" s="19" t="n">
        <v>2.5</v>
      </c>
      <c r="G218" s="24" t="n">
        <v>3.4</v>
      </c>
      <c r="H218" s="23" t="s">
        <v>9</v>
      </c>
      <c r="I218" s="25" t="n">
        <v>51565</v>
      </c>
    </row>
    <row r="219" customFormat="false" ht="19.5" hidden="false" customHeight="true" outlineLevel="0" collapsed="false">
      <c r="A219" s="26" t="s">
        <v>281</v>
      </c>
      <c r="B219" s="27" t="s">
        <v>20</v>
      </c>
      <c r="C219" s="27" t="s">
        <v>38</v>
      </c>
      <c r="D219" s="28" t="n">
        <f aca="false">DATE(2026,1,1)-852</f>
        <v>45171</v>
      </c>
      <c r="E219" s="29" t="s">
        <v>45</v>
      </c>
      <c r="F219" s="15" t="n">
        <v>3.9</v>
      </c>
      <c r="G219" s="30" t="n">
        <v>4.57</v>
      </c>
      <c r="H219" s="29" t="s">
        <v>9</v>
      </c>
      <c r="I219" s="31" t="n">
        <v>97549</v>
      </c>
    </row>
    <row r="220" customFormat="false" ht="19.5" hidden="false" customHeight="true" outlineLevel="0" collapsed="false">
      <c r="A220" s="20" t="s">
        <v>282</v>
      </c>
      <c r="B220" s="21" t="s">
        <v>18</v>
      </c>
      <c r="C220" s="21" t="s">
        <v>44</v>
      </c>
      <c r="D220" s="22" t="n">
        <f aca="false">DATE(2026,1,1)-455</f>
        <v>45568</v>
      </c>
      <c r="E220" s="23" t="s">
        <v>48</v>
      </c>
      <c r="F220" s="19" t="n">
        <v>5</v>
      </c>
      <c r="G220" s="24" t="n">
        <v>3.29</v>
      </c>
      <c r="H220" s="23" t="s">
        <v>9</v>
      </c>
      <c r="I220" s="25" t="n">
        <v>118691</v>
      </c>
    </row>
    <row r="221" customFormat="false" ht="19.5" hidden="false" customHeight="true" outlineLevel="0" collapsed="false">
      <c r="A221" s="26" t="s">
        <v>283</v>
      </c>
      <c r="B221" s="27" t="s">
        <v>22</v>
      </c>
      <c r="C221" s="27" t="s">
        <v>56</v>
      </c>
      <c r="D221" s="28" t="n">
        <f aca="false">DATE(2026,1,1)-951</f>
        <v>45072</v>
      </c>
      <c r="E221" s="29" t="s">
        <v>57</v>
      </c>
      <c r="F221" s="15" t="n">
        <v>1.3</v>
      </c>
      <c r="G221" s="30" t="n">
        <v>3.46</v>
      </c>
      <c r="H221" s="29" t="s">
        <v>9</v>
      </c>
      <c r="I221" s="31" t="n">
        <v>75354</v>
      </c>
    </row>
    <row r="222" customFormat="false" ht="19.5" hidden="false" customHeight="true" outlineLevel="0" collapsed="false">
      <c r="A222" s="20" t="s">
        <v>284</v>
      </c>
      <c r="B222" s="21" t="s">
        <v>24</v>
      </c>
      <c r="C222" s="21" t="s">
        <v>47</v>
      </c>
      <c r="D222" s="22" t="n">
        <f aca="false">DATE(2026,1,1)-1048</f>
        <v>44975</v>
      </c>
      <c r="E222" s="23" t="s">
        <v>63</v>
      </c>
      <c r="F222" s="19" t="n">
        <v>2.4</v>
      </c>
      <c r="G222" s="24" t="n">
        <v>4.88</v>
      </c>
      <c r="H222" s="23" t="s">
        <v>42</v>
      </c>
      <c r="I222" s="25" t="n">
        <v>96568</v>
      </c>
    </row>
    <row r="223" customFormat="false" ht="19.5" hidden="false" customHeight="true" outlineLevel="0" collapsed="false">
      <c r="A223" s="26" t="s">
        <v>285</v>
      </c>
      <c r="B223" s="27" t="s">
        <v>16</v>
      </c>
      <c r="C223" s="27" t="s">
        <v>204</v>
      </c>
      <c r="D223" s="28" t="n">
        <f aca="false">DATE(2026,1,1)-554</f>
        <v>45469</v>
      </c>
      <c r="E223" s="29" t="s">
        <v>48</v>
      </c>
      <c r="F223" s="15" t="n">
        <v>1.8</v>
      </c>
      <c r="G223" s="30" t="n">
        <v>4.67</v>
      </c>
      <c r="H223" s="29" t="s">
        <v>9</v>
      </c>
      <c r="I223" s="31" t="n">
        <v>70193</v>
      </c>
    </row>
    <row r="224" customFormat="false" ht="19.5" hidden="false" customHeight="true" outlineLevel="0" collapsed="false">
      <c r="A224" s="20" t="s">
        <v>286</v>
      </c>
      <c r="B224" s="21" t="s">
        <v>26</v>
      </c>
      <c r="C224" s="21" t="s">
        <v>81</v>
      </c>
      <c r="D224" s="22" t="n">
        <f aca="false">DATE(2026,1,1)-83</f>
        <v>45940</v>
      </c>
      <c r="E224" s="23" t="s">
        <v>52</v>
      </c>
      <c r="F224" s="19" t="n">
        <v>4.7</v>
      </c>
      <c r="G224" s="24" t="n">
        <v>4.61</v>
      </c>
      <c r="H224" s="23" t="s">
        <v>9</v>
      </c>
      <c r="I224" s="25" t="n">
        <v>73271</v>
      </c>
    </row>
    <row r="225" customFormat="false" ht="19.5" hidden="false" customHeight="true" outlineLevel="0" collapsed="false">
      <c r="A225" s="26" t="s">
        <v>287</v>
      </c>
      <c r="B225" s="27" t="s">
        <v>26</v>
      </c>
      <c r="C225" s="27" t="s">
        <v>41</v>
      </c>
      <c r="D225" s="28" t="n">
        <f aca="false">DATE(2026,1,1)-675</f>
        <v>45348</v>
      </c>
      <c r="E225" s="29" t="s">
        <v>60</v>
      </c>
      <c r="F225" s="15" t="n">
        <v>1.9</v>
      </c>
      <c r="G225" s="30" t="n">
        <v>4.39</v>
      </c>
      <c r="H225" s="29" t="s">
        <v>9</v>
      </c>
      <c r="I225" s="31" t="n">
        <v>93103</v>
      </c>
    </row>
    <row r="226" customFormat="false" ht="19.5" hidden="false" customHeight="true" outlineLevel="0" collapsed="false">
      <c r="A226" s="20" t="s">
        <v>288</v>
      </c>
      <c r="B226" s="21" t="s">
        <v>20</v>
      </c>
      <c r="C226" s="21" t="s">
        <v>38</v>
      </c>
      <c r="D226" s="22" t="n">
        <f aca="false">DATE(2026,1,1)-530</f>
        <v>45493</v>
      </c>
      <c r="E226" s="23" t="s">
        <v>57</v>
      </c>
      <c r="F226" s="19" t="n">
        <v>2</v>
      </c>
      <c r="G226" s="24" t="n">
        <v>3.56</v>
      </c>
      <c r="H226" s="23" t="s">
        <v>9</v>
      </c>
      <c r="I226" s="25" t="n">
        <v>98150</v>
      </c>
    </row>
    <row r="227" customFormat="false" ht="19.5" hidden="false" customHeight="true" outlineLevel="0" collapsed="false">
      <c r="A227" s="26" t="s">
        <v>289</v>
      </c>
      <c r="B227" s="27" t="s">
        <v>26</v>
      </c>
      <c r="C227" s="27" t="s">
        <v>110</v>
      </c>
      <c r="D227" s="28" t="n">
        <f aca="false">DATE(2026,1,1)-1387</f>
        <v>44636</v>
      </c>
      <c r="E227" s="29" t="s">
        <v>60</v>
      </c>
      <c r="F227" s="15" t="n">
        <v>3.4</v>
      </c>
      <c r="G227" s="30" t="n">
        <v>4.66</v>
      </c>
      <c r="H227" s="29" t="s">
        <v>9</v>
      </c>
      <c r="I227" s="31" t="n">
        <v>120110</v>
      </c>
    </row>
    <row r="228" customFormat="false" ht="19.5" hidden="false" customHeight="true" outlineLevel="0" collapsed="false">
      <c r="A228" s="20" t="s">
        <v>290</v>
      </c>
      <c r="B228" s="21" t="s">
        <v>22</v>
      </c>
      <c r="C228" s="21" t="s">
        <v>56</v>
      </c>
      <c r="D228" s="22" t="n">
        <f aca="false">DATE(2026,1,1)-446</f>
        <v>45577</v>
      </c>
      <c r="E228" s="23" t="s">
        <v>60</v>
      </c>
      <c r="F228" s="19" t="n">
        <v>5.1</v>
      </c>
      <c r="G228" s="24" t="n">
        <v>3.85</v>
      </c>
      <c r="H228" s="23" t="s">
        <v>9</v>
      </c>
      <c r="I228" s="25" t="n">
        <v>58729</v>
      </c>
    </row>
    <row r="229" customFormat="false" ht="19.5" hidden="false" customHeight="true" outlineLevel="0" collapsed="false">
      <c r="A229" s="26" t="s">
        <v>291</v>
      </c>
      <c r="B229" s="27" t="s">
        <v>27</v>
      </c>
      <c r="C229" s="27" t="s">
        <v>54</v>
      </c>
      <c r="D229" s="28" t="n">
        <f aca="false">DATE(2026,1,1)-628</f>
        <v>45395</v>
      </c>
      <c r="E229" s="29" t="s">
        <v>52</v>
      </c>
      <c r="F229" s="15" t="n">
        <v>6.7</v>
      </c>
      <c r="G229" s="30" t="n">
        <v>3.71</v>
      </c>
      <c r="H229" s="29" t="s">
        <v>9</v>
      </c>
      <c r="I229" s="31" t="n">
        <v>53619</v>
      </c>
    </row>
    <row r="230" customFormat="false" ht="19.5" hidden="false" customHeight="true" outlineLevel="0" collapsed="false">
      <c r="A230" s="20" t="s">
        <v>292</v>
      </c>
      <c r="B230" s="21" t="s">
        <v>22</v>
      </c>
      <c r="C230" s="21" t="s">
        <v>50</v>
      </c>
      <c r="D230" s="22" t="n">
        <f aca="false">DATE(2026,1,1)-2028</f>
        <v>43995</v>
      </c>
      <c r="E230" s="23" t="s">
        <v>48</v>
      </c>
      <c r="F230" s="19" t="n">
        <v>3.4</v>
      </c>
      <c r="G230" s="24" t="n">
        <v>3.75</v>
      </c>
      <c r="H230" s="23" t="s">
        <v>9</v>
      </c>
      <c r="I230" s="25" t="n">
        <v>69672</v>
      </c>
    </row>
    <row r="231" customFormat="false" ht="19.5" hidden="false" customHeight="true" outlineLevel="0" collapsed="false">
      <c r="A231" s="26" t="s">
        <v>293</v>
      </c>
      <c r="B231" s="27" t="s">
        <v>24</v>
      </c>
      <c r="C231" s="27" t="s">
        <v>47</v>
      </c>
      <c r="D231" s="28" t="n">
        <f aca="false">DATE(2026,1,1)-1127</f>
        <v>44896</v>
      </c>
      <c r="E231" s="29" t="s">
        <v>57</v>
      </c>
      <c r="F231" s="15" t="n">
        <v>6.9</v>
      </c>
      <c r="G231" s="30" t="n">
        <v>4.03</v>
      </c>
      <c r="H231" s="29" t="s">
        <v>9</v>
      </c>
      <c r="I231" s="31" t="n">
        <v>109631</v>
      </c>
    </row>
    <row r="232" customFormat="false" ht="19.5" hidden="false" customHeight="true" outlineLevel="0" collapsed="false">
      <c r="A232" s="20" t="s">
        <v>294</v>
      </c>
      <c r="B232" s="21" t="s">
        <v>27</v>
      </c>
      <c r="C232" s="21" t="s">
        <v>54</v>
      </c>
      <c r="D232" s="22" t="n">
        <f aca="false">DATE(2026,1,1)-753</f>
        <v>45270</v>
      </c>
      <c r="E232" s="23" t="s">
        <v>45</v>
      </c>
      <c r="F232" s="19" t="n">
        <v>7.2</v>
      </c>
      <c r="G232" s="24" t="n">
        <v>3.93</v>
      </c>
      <c r="H232" s="23" t="s">
        <v>9</v>
      </c>
      <c r="I232" s="25" t="n">
        <v>46874</v>
      </c>
    </row>
    <row r="233" customFormat="false" ht="19.5" hidden="false" customHeight="true" outlineLevel="0" collapsed="false">
      <c r="A233" s="26" t="s">
        <v>295</v>
      </c>
      <c r="B233" s="27" t="s">
        <v>24</v>
      </c>
      <c r="C233" s="27" t="s">
        <v>47</v>
      </c>
      <c r="D233" s="28" t="n">
        <f aca="false">DATE(2026,1,1)-228</f>
        <v>45795</v>
      </c>
      <c r="E233" s="29" t="s">
        <v>57</v>
      </c>
      <c r="F233" s="15" t="n">
        <v>7.9</v>
      </c>
      <c r="G233" s="30" t="n">
        <v>4.02</v>
      </c>
      <c r="H233" s="29" t="s">
        <v>9</v>
      </c>
      <c r="I233" s="31" t="n">
        <v>100751</v>
      </c>
    </row>
    <row r="234" customFormat="false" ht="19.5" hidden="false" customHeight="true" outlineLevel="0" collapsed="false">
      <c r="A234" s="20" t="s">
        <v>296</v>
      </c>
      <c r="B234" s="21" t="s">
        <v>22</v>
      </c>
      <c r="C234" s="21" t="s">
        <v>38</v>
      </c>
      <c r="D234" s="22" t="n">
        <f aca="false">DATE(2026,1,1)-1399</f>
        <v>44624</v>
      </c>
      <c r="E234" s="23" t="s">
        <v>63</v>
      </c>
      <c r="F234" s="19" t="n">
        <v>3.4</v>
      </c>
      <c r="G234" s="24" t="n">
        <v>3.93</v>
      </c>
      <c r="H234" s="23" t="s">
        <v>9</v>
      </c>
      <c r="I234" s="25" t="n">
        <v>102630</v>
      </c>
    </row>
    <row r="235" customFormat="false" ht="19.5" hidden="false" customHeight="true" outlineLevel="0" collapsed="false">
      <c r="A235" s="26" t="s">
        <v>297</v>
      </c>
      <c r="B235" s="27" t="s">
        <v>27</v>
      </c>
      <c r="C235" s="27" t="s">
        <v>96</v>
      </c>
      <c r="D235" s="28" t="n">
        <f aca="false">DATE(2026,1,1)-1817</f>
        <v>44206</v>
      </c>
      <c r="E235" s="29" t="s">
        <v>48</v>
      </c>
      <c r="F235" s="15" t="n">
        <v>2.1</v>
      </c>
      <c r="G235" s="30" t="n">
        <v>3.08</v>
      </c>
      <c r="H235" s="29" t="s">
        <v>9</v>
      </c>
      <c r="I235" s="31" t="n">
        <v>108480</v>
      </c>
    </row>
    <row r="236" customFormat="false" ht="19.5" hidden="false" customHeight="true" outlineLevel="0" collapsed="false">
      <c r="A236" s="20" t="s">
        <v>298</v>
      </c>
      <c r="B236" s="21" t="s">
        <v>16</v>
      </c>
      <c r="C236" s="21" t="s">
        <v>158</v>
      </c>
      <c r="D236" s="22" t="n">
        <f aca="false">DATE(2026,1,1)-215</f>
        <v>45808</v>
      </c>
      <c r="E236" s="23" t="s">
        <v>57</v>
      </c>
      <c r="F236" s="19" t="n">
        <v>0.9</v>
      </c>
      <c r="G236" s="24" t="n">
        <v>3.17</v>
      </c>
      <c r="H236" s="23" t="s">
        <v>9</v>
      </c>
      <c r="I236" s="25" t="n">
        <v>120236</v>
      </c>
    </row>
    <row r="237" customFormat="false" ht="19.5" hidden="false" customHeight="true" outlineLevel="0" collapsed="false">
      <c r="A237" s="26" t="s">
        <v>299</v>
      </c>
      <c r="B237" s="27" t="s">
        <v>16</v>
      </c>
      <c r="C237" s="27" t="s">
        <v>158</v>
      </c>
      <c r="D237" s="28" t="n">
        <f aca="false">DATE(2026,1,1)-955</f>
        <v>45068</v>
      </c>
      <c r="E237" s="29" t="s">
        <v>63</v>
      </c>
      <c r="F237" s="15" t="n">
        <v>7.2</v>
      </c>
      <c r="G237" s="30" t="n">
        <v>4.15</v>
      </c>
      <c r="H237" s="29" t="s">
        <v>9</v>
      </c>
      <c r="I237" s="31" t="n">
        <v>142995</v>
      </c>
    </row>
    <row r="238" customFormat="false" ht="19.5" hidden="false" customHeight="true" outlineLevel="0" collapsed="false">
      <c r="A238" s="20" t="s">
        <v>300</v>
      </c>
      <c r="B238" s="21" t="s">
        <v>20</v>
      </c>
      <c r="C238" s="21" t="s">
        <v>78</v>
      </c>
      <c r="D238" s="22" t="n">
        <f aca="false">DATE(2026,1,1)-554</f>
        <v>45469</v>
      </c>
      <c r="E238" s="23" t="s">
        <v>39</v>
      </c>
      <c r="F238" s="19" t="n">
        <v>2.4</v>
      </c>
      <c r="G238" s="24" t="n">
        <v>2.84</v>
      </c>
      <c r="H238" s="23" t="s">
        <v>9</v>
      </c>
      <c r="I238" s="25" t="n">
        <v>132782</v>
      </c>
    </row>
    <row r="239" customFormat="false" ht="19.5" hidden="false" customHeight="true" outlineLevel="0" collapsed="false">
      <c r="A239" s="26" t="s">
        <v>301</v>
      </c>
      <c r="B239" s="27" t="s">
        <v>18</v>
      </c>
      <c r="C239" s="27" t="s">
        <v>44</v>
      </c>
      <c r="D239" s="28" t="n">
        <f aca="false">DATE(2026,1,1)-89</f>
        <v>45934</v>
      </c>
      <c r="E239" s="29" t="s">
        <v>48</v>
      </c>
      <c r="F239" s="15" t="n">
        <v>4.1</v>
      </c>
      <c r="G239" s="30" t="n">
        <v>4.22</v>
      </c>
      <c r="H239" s="29" t="s">
        <v>9</v>
      </c>
      <c r="I239" s="31" t="n">
        <v>104829</v>
      </c>
    </row>
    <row r="240" customFormat="false" ht="19.5" hidden="false" customHeight="true" outlineLevel="0" collapsed="false">
      <c r="A240" s="20" t="s">
        <v>302</v>
      </c>
      <c r="B240" s="21" t="s">
        <v>16</v>
      </c>
      <c r="C240" s="21" t="s">
        <v>204</v>
      </c>
      <c r="D240" s="22" t="n">
        <f aca="false">DATE(2026,1,1)-280</f>
        <v>45743</v>
      </c>
      <c r="E240" s="23" t="s">
        <v>48</v>
      </c>
      <c r="F240" s="19" t="n">
        <v>2.5</v>
      </c>
      <c r="G240" s="24" t="n">
        <v>3.15</v>
      </c>
      <c r="H240" s="23" t="s">
        <v>9</v>
      </c>
      <c r="I240" s="25" t="n">
        <v>105247</v>
      </c>
    </row>
    <row r="241" customFormat="false" ht="19.5" hidden="false" customHeight="true" outlineLevel="0" collapsed="false">
      <c r="A241" s="26" t="s">
        <v>303</v>
      </c>
      <c r="B241" s="27" t="s">
        <v>22</v>
      </c>
      <c r="C241" s="27" t="s">
        <v>50</v>
      </c>
      <c r="D241" s="28" t="n">
        <f aca="false">DATE(2026,1,1)-1491</f>
        <v>44532</v>
      </c>
      <c r="E241" s="29" t="s">
        <v>45</v>
      </c>
      <c r="F241" s="15" t="n">
        <v>2.9</v>
      </c>
      <c r="G241" s="30" t="n">
        <v>3.15</v>
      </c>
      <c r="H241" s="29" t="s">
        <v>9</v>
      </c>
      <c r="I241" s="31" t="n">
        <v>119741</v>
      </c>
    </row>
    <row r="242" customFormat="false" ht="19.5" hidden="false" customHeight="true" outlineLevel="0" collapsed="false">
      <c r="A242" s="20" t="s">
        <v>304</v>
      </c>
      <c r="B242" s="21" t="s">
        <v>26</v>
      </c>
      <c r="C242" s="21" t="s">
        <v>41</v>
      </c>
      <c r="D242" s="22" t="n">
        <f aca="false">DATE(2026,1,1)-293</f>
        <v>45730</v>
      </c>
      <c r="E242" s="23" t="s">
        <v>57</v>
      </c>
      <c r="F242" s="19" t="n">
        <v>7.6</v>
      </c>
      <c r="G242" s="24" t="n">
        <v>4.07</v>
      </c>
      <c r="H242" s="23" t="s">
        <v>9</v>
      </c>
      <c r="I242" s="25" t="n">
        <v>136364</v>
      </c>
    </row>
    <row r="243" customFormat="false" ht="19.5" hidden="false" customHeight="true" outlineLevel="0" collapsed="false">
      <c r="A243" s="26" t="s">
        <v>305</v>
      </c>
      <c r="B243" s="27" t="s">
        <v>16</v>
      </c>
      <c r="C243" s="27" t="s">
        <v>100</v>
      </c>
      <c r="D243" s="28" t="n">
        <f aca="false">DATE(2026,1,1)-1347</f>
        <v>44676</v>
      </c>
      <c r="E243" s="29" t="s">
        <v>63</v>
      </c>
      <c r="F243" s="15" t="n">
        <v>5</v>
      </c>
      <c r="G243" s="30" t="n">
        <v>2.82</v>
      </c>
      <c r="H243" s="29" t="s">
        <v>9</v>
      </c>
      <c r="I243" s="31" t="n">
        <v>65093</v>
      </c>
    </row>
    <row r="244" customFormat="false" ht="19.5" hidden="false" customHeight="true" outlineLevel="0" collapsed="false">
      <c r="A244" s="20" t="s">
        <v>306</v>
      </c>
      <c r="B244" s="21" t="s">
        <v>20</v>
      </c>
      <c r="C244" s="21" t="s">
        <v>38</v>
      </c>
      <c r="D244" s="22" t="n">
        <f aca="false">DATE(2026,1,1)-1231</f>
        <v>44792</v>
      </c>
      <c r="E244" s="23" t="s">
        <v>52</v>
      </c>
      <c r="F244" s="19" t="n">
        <v>6.2</v>
      </c>
      <c r="G244" s="24" t="n">
        <v>2.95</v>
      </c>
      <c r="H244" s="23" t="s">
        <v>9</v>
      </c>
      <c r="I244" s="25" t="n">
        <v>135667</v>
      </c>
    </row>
    <row r="245" customFormat="false" ht="19.5" hidden="false" customHeight="true" outlineLevel="0" collapsed="false">
      <c r="A245" s="26" t="s">
        <v>307</v>
      </c>
      <c r="B245" s="27" t="s">
        <v>26</v>
      </c>
      <c r="C245" s="27" t="s">
        <v>41</v>
      </c>
      <c r="D245" s="28" t="n">
        <f aca="false">DATE(2026,1,1)-1180</f>
        <v>44843</v>
      </c>
      <c r="E245" s="29" t="s">
        <v>52</v>
      </c>
      <c r="F245" s="15" t="n">
        <v>5.6</v>
      </c>
      <c r="G245" s="30" t="n">
        <v>3.22</v>
      </c>
      <c r="H245" s="29" t="s">
        <v>9</v>
      </c>
      <c r="I245" s="31" t="n">
        <v>108527</v>
      </c>
    </row>
    <row r="246" customFormat="false" ht="19.5" hidden="false" customHeight="true" outlineLevel="0" collapsed="false">
      <c r="A246" s="20" t="s">
        <v>308</v>
      </c>
      <c r="B246" s="21" t="s">
        <v>26</v>
      </c>
      <c r="C246" s="21" t="s">
        <v>81</v>
      </c>
      <c r="D246" s="22" t="n">
        <f aca="false">DATE(2026,1,1)-2129</f>
        <v>43894</v>
      </c>
      <c r="E246" s="23" t="s">
        <v>57</v>
      </c>
      <c r="F246" s="19" t="n">
        <v>1.5</v>
      </c>
      <c r="G246" s="24" t="n">
        <v>3.12</v>
      </c>
      <c r="H246" s="23" t="s">
        <v>9</v>
      </c>
      <c r="I246" s="25" t="n">
        <v>137567</v>
      </c>
    </row>
    <row r="247" customFormat="false" ht="19.5" hidden="false" customHeight="true" outlineLevel="0" collapsed="false">
      <c r="A247" s="26" t="s">
        <v>309</v>
      </c>
      <c r="B247" s="27" t="s">
        <v>20</v>
      </c>
      <c r="C247" s="27" t="s">
        <v>47</v>
      </c>
      <c r="D247" s="28" t="n">
        <f aca="false">DATE(2026,1,1)-1673</f>
        <v>44350</v>
      </c>
      <c r="E247" s="29" t="s">
        <v>39</v>
      </c>
      <c r="F247" s="15" t="n">
        <v>5.6</v>
      </c>
      <c r="G247" s="30" t="n">
        <v>3.16</v>
      </c>
      <c r="H247" s="29" t="s">
        <v>9</v>
      </c>
      <c r="I247" s="31" t="n">
        <v>96728</v>
      </c>
    </row>
    <row r="248" customFormat="false" ht="19.5" hidden="false" customHeight="true" outlineLevel="0" collapsed="false">
      <c r="A248" s="20" t="s">
        <v>310</v>
      </c>
      <c r="B248" s="21" t="s">
        <v>22</v>
      </c>
      <c r="C248" s="21" t="s">
        <v>50</v>
      </c>
      <c r="D248" s="22" t="n">
        <f aca="false">DATE(2026,1,1)-529</f>
        <v>45494</v>
      </c>
      <c r="E248" s="23" t="s">
        <v>52</v>
      </c>
      <c r="F248" s="19" t="n">
        <v>2.7</v>
      </c>
      <c r="G248" s="24" t="n">
        <v>3.91</v>
      </c>
      <c r="H248" s="23" t="s">
        <v>9</v>
      </c>
      <c r="I248" s="25" t="n">
        <v>119993</v>
      </c>
    </row>
    <row r="249" customFormat="false" ht="19.5" hidden="false" customHeight="true" outlineLevel="0" collapsed="false">
      <c r="A249" s="26" t="s">
        <v>311</v>
      </c>
      <c r="B249" s="27" t="s">
        <v>26</v>
      </c>
      <c r="C249" s="27" t="s">
        <v>110</v>
      </c>
      <c r="D249" s="28" t="n">
        <f aca="false">DATE(2026,1,1)-1058</f>
        <v>44965</v>
      </c>
      <c r="E249" s="29" t="s">
        <v>60</v>
      </c>
      <c r="F249" s="15" t="n">
        <v>3.5</v>
      </c>
      <c r="G249" s="30" t="n">
        <v>2.81</v>
      </c>
      <c r="H249" s="29" t="s">
        <v>9</v>
      </c>
      <c r="I249" s="31" t="n">
        <v>74864</v>
      </c>
    </row>
    <row r="250" customFormat="false" ht="19.5" hidden="false" customHeight="true" outlineLevel="0" collapsed="false">
      <c r="A250" s="20" t="s">
        <v>312</v>
      </c>
      <c r="B250" s="21" t="s">
        <v>26</v>
      </c>
      <c r="C250" s="21" t="s">
        <v>81</v>
      </c>
      <c r="D250" s="22" t="n">
        <f aca="false">DATE(2026,1,1)-1036</f>
        <v>44987</v>
      </c>
      <c r="E250" s="23" t="s">
        <v>39</v>
      </c>
      <c r="F250" s="19" t="n">
        <v>3.5</v>
      </c>
      <c r="G250" s="24" t="n">
        <v>4.08</v>
      </c>
      <c r="H250" s="23" t="s">
        <v>9</v>
      </c>
      <c r="I250" s="25" t="n">
        <v>99937</v>
      </c>
    </row>
    <row r="251" customFormat="false" ht="19.5" hidden="false" customHeight="true" outlineLevel="0" collapsed="false">
      <c r="A251" s="26" t="s">
        <v>313</v>
      </c>
      <c r="B251" s="27" t="s">
        <v>16</v>
      </c>
      <c r="C251" s="27" t="s">
        <v>100</v>
      </c>
      <c r="D251" s="28" t="n">
        <f aca="false">DATE(2026,1,1)-1318</f>
        <v>44705</v>
      </c>
      <c r="E251" s="29" t="s">
        <v>52</v>
      </c>
      <c r="F251" s="15" t="n">
        <v>5.8</v>
      </c>
      <c r="G251" s="30" t="n">
        <v>2.89</v>
      </c>
      <c r="H251" s="29" t="s">
        <v>9</v>
      </c>
      <c r="I251" s="31" t="n">
        <v>49495</v>
      </c>
    </row>
    <row r="252" customFormat="false" ht="19.5" hidden="false" customHeight="true" outlineLevel="0" collapsed="false">
      <c r="A252" s="20" t="s">
        <v>314</v>
      </c>
      <c r="B252" s="21" t="s">
        <v>24</v>
      </c>
      <c r="C252" s="21" t="s">
        <v>47</v>
      </c>
      <c r="D252" s="22" t="n">
        <f aca="false">DATE(2026,1,1)-92</f>
        <v>45931</v>
      </c>
      <c r="E252" s="23" t="s">
        <v>60</v>
      </c>
      <c r="F252" s="19" t="n">
        <v>7.3</v>
      </c>
      <c r="G252" s="24" t="n">
        <v>4.33</v>
      </c>
      <c r="H252" s="23" t="s">
        <v>9</v>
      </c>
      <c r="I252" s="25" t="n">
        <v>98493</v>
      </c>
    </row>
    <row r="253" customFormat="false" ht="19.5" hidden="false" customHeight="true" outlineLevel="0" collapsed="false">
      <c r="A253" s="26" t="s">
        <v>315</v>
      </c>
      <c r="B253" s="27" t="s">
        <v>18</v>
      </c>
      <c r="C253" s="27" t="s">
        <v>44</v>
      </c>
      <c r="D253" s="28" t="n">
        <f aca="false">DATE(2026,1,1)-945</f>
        <v>45078</v>
      </c>
      <c r="E253" s="29" t="s">
        <v>57</v>
      </c>
      <c r="F253" s="15" t="n">
        <v>6.3</v>
      </c>
      <c r="G253" s="30" t="n">
        <v>4.36</v>
      </c>
      <c r="H253" s="29" t="s">
        <v>9</v>
      </c>
      <c r="I253" s="31" t="n">
        <v>57352</v>
      </c>
    </row>
    <row r="254" customFormat="false" ht="19.5" hidden="false" customHeight="true" outlineLevel="0" collapsed="false">
      <c r="A254" s="20" t="s">
        <v>316</v>
      </c>
      <c r="B254" s="21" t="s">
        <v>26</v>
      </c>
      <c r="C254" s="21" t="s">
        <v>110</v>
      </c>
      <c r="D254" s="22" t="n">
        <f aca="false">DATE(2026,1,1)-2047</f>
        <v>43976</v>
      </c>
      <c r="E254" s="23" t="s">
        <v>60</v>
      </c>
      <c r="F254" s="19" t="n">
        <v>2.3</v>
      </c>
      <c r="G254" s="24" t="n">
        <v>3.71</v>
      </c>
      <c r="H254" s="23" t="s">
        <v>9</v>
      </c>
      <c r="I254" s="25" t="n">
        <v>99655</v>
      </c>
    </row>
    <row r="255" customFormat="false" ht="19.5" hidden="false" customHeight="true" outlineLevel="0" collapsed="false">
      <c r="A255" s="26" t="s">
        <v>317</v>
      </c>
      <c r="B255" s="27" t="s">
        <v>27</v>
      </c>
      <c r="C255" s="27" t="s">
        <v>96</v>
      </c>
      <c r="D255" s="28" t="n">
        <f aca="false">DATE(2026,1,1)-678</f>
        <v>45345</v>
      </c>
      <c r="E255" s="29" t="s">
        <v>45</v>
      </c>
      <c r="F255" s="15" t="n">
        <v>7</v>
      </c>
      <c r="G255" s="30" t="n">
        <v>4.46</v>
      </c>
      <c r="H255" s="29" t="s">
        <v>9</v>
      </c>
      <c r="I255" s="31" t="n">
        <v>109167</v>
      </c>
    </row>
    <row r="256" customFormat="false" ht="19.5" hidden="false" customHeight="true" outlineLevel="0" collapsed="false">
      <c r="A256" s="20" t="s">
        <v>318</v>
      </c>
      <c r="B256" s="21" t="s">
        <v>26</v>
      </c>
      <c r="C256" s="21" t="s">
        <v>81</v>
      </c>
      <c r="D256" s="22" t="n">
        <f aca="false">DATE(2026,1,1)-1107</f>
        <v>44916</v>
      </c>
      <c r="E256" s="23" t="s">
        <v>57</v>
      </c>
      <c r="F256" s="19" t="n">
        <v>4.9</v>
      </c>
      <c r="G256" s="24" t="n">
        <v>4.2</v>
      </c>
      <c r="H256" s="23" t="s">
        <v>9</v>
      </c>
      <c r="I256" s="25" t="n">
        <v>117109</v>
      </c>
    </row>
    <row r="257" customFormat="false" ht="19.5" hidden="false" customHeight="true" outlineLevel="0" collapsed="false">
      <c r="A257" s="26" t="s">
        <v>319</v>
      </c>
      <c r="B257" s="27" t="s">
        <v>27</v>
      </c>
      <c r="C257" s="27" t="s">
        <v>72</v>
      </c>
      <c r="D257" s="28" t="n">
        <f aca="false">DATE(2026,1,1)-1038</f>
        <v>44985</v>
      </c>
      <c r="E257" s="29" t="s">
        <v>48</v>
      </c>
      <c r="F257" s="15" t="n">
        <v>2.3</v>
      </c>
      <c r="G257" s="30" t="n">
        <v>4.51</v>
      </c>
      <c r="H257" s="29" t="s">
        <v>9</v>
      </c>
      <c r="I257" s="31" t="n">
        <v>71198</v>
      </c>
    </row>
    <row r="258" customFormat="false" ht="19.5" hidden="false" customHeight="true" outlineLevel="0" collapsed="false">
      <c r="A258" s="20" t="s">
        <v>320</v>
      </c>
      <c r="B258" s="21" t="s">
        <v>24</v>
      </c>
      <c r="C258" s="21" t="s">
        <v>47</v>
      </c>
      <c r="D258" s="22" t="n">
        <f aca="false">DATE(2026,1,1)-651</f>
        <v>45372</v>
      </c>
      <c r="E258" s="23" t="s">
        <v>57</v>
      </c>
      <c r="F258" s="19" t="n">
        <v>2.2</v>
      </c>
      <c r="G258" s="24" t="n">
        <v>4.37</v>
      </c>
      <c r="H258" s="23" t="s">
        <v>9</v>
      </c>
      <c r="I258" s="25" t="n">
        <v>54214</v>
      </c>
    </row>
    <row r="259" customFormat="false" ht="19.5" hidden="false" customHeight="true" outlineLevel="0" collapsed="false">
      <c r="A259" s="26" t="s">
        <v>321</v>
      </c>
      <c r="B259" s="27" t="s">
        <v>27</v>
      </c>
      <c r="C259" s="27" t="s">
        <v>54</v>
      </c>
      <c r="D259" s="28" t="n">
        <f aca="false">DATE(2026,1,1)-903</f>
        <v>45120</v>
      </c>
      <c r="E259" s="29" t="s">
        <v>39</v>
      </c>
      <c r="F259" s="15" t="n">
        <v>3.3</v>
      </c>
      <c r="G259" s="30" t="n">
        <v>3.76</v>
      </c>
      <c r="H259" s="29" t="s">
        <v>9</v>
      </c>
      <c r="I259" s="31" t="n">
        <v>67475</v>
      </c>
    </row>
    <row r="260" customFormat="false" ht="19.5" hidden="false" customHeight="true" outlineLevel="0" collapsed="false">
      <c r="A260" s="20" t="s">
        <v>322</v>
      </c>
      <c r="B260" s="21" t="s">
        <v>20</v>
      </c>
      <c r="C260" s="21" t="s">
        <v>38</v>
      </c>
      <c r="D260" s="22" t="n">
        <f aca="false">DATE(2026,1,1)-153</f>
        <v>45870</v>
      </c>
      <c r="E260" s="23" t="s">
        <v>63</v>
      </c>
      <c r="F260" s="19" t="n">
        <v>3.9</v>
      </c>
      <c r="G260" s="24" t="n">
        <v>3.52</v>
      </c>
      <c r="H260" s="23" t="s">
        <v>9</v>
      </c>
      <c r="I260" s="25" t="n">
        <v>77761</v>
      </c>
    </row>
    <row r="261" customFormat="false" ht="19.5" hidden="false" customHeight="true" outlineLevel="0" collapsed="false">
      <c r="A261" s="26" t="s">
        <v>323</v>
      </c>
      <c r="B261" s="27" t="s">
        <v>22</v>
      </c>
      <c r="C261" s="27" t="s">
        <v>38</v>
      </c>
      <c r="D261" s="28" t="n">
        <f aca="false">DATE(2026,1,1)-1628</f>
        <v>44395</v>
      </c>
      <c r="E261" s="29" t="s">
        <v>57</v>
      </c>
      <c r="F261" s="15" t="n">
        <v>2.6</v>
      </c>
      <c r="G261" s="30" t="n">
        <v>3.92</v>
      </c>
      <c r="H261" s="29" t="s">
        <v>9</v>
      </c>
      <c r="I261" s="31" t="n">
        <v>54652</v>
      </c>
    </row>
    <row r="262" customFormat="false" ht="19.5" hidden="false" customHeight="true" outlineLevel="0" collapsed="false">
      <c r="A262" s="20" t="s">
        <v>324</v>
      </c>
      <c r="B262" s="21" t="s">
        <v>16</v>
      </c>
      <c r="C262" s="21" t="s">
        <v>100</v>
      </c>
      <c r="D262" s="22" t="n">
        <f aca="false">DATE(2026,1,1)-637</f>
        <v>45386</v>
      </c>
      <c r="E262" s="23" t="s">
        <v>60</v>
      </c>
      <c r="F262" s="19" t="n">
        <v>5.8</v>
      </c>
      <c r="G262" s="24" t="n">
        <v>4.09</v>
      </c>
      <c r="H262" s="23" t="s">
        <v>9</v>
      </c>
      <c r="I262" s="25" t="n">
        <v>52949</v>
      </c>
    </row>
    <row r="263" customFormat="false" ht="19.5" hidden="false" customHeight="true" outlineLevel="0" collapsed="false">
      <c r="A263" s="26" t="s">
        <v>325</v>
      </c>
      <c r="B263" s="27" t="s">
        <v>20</v>
      </c>
      <c r="C263" s="27" t="s">
        <v>47</v>
      </c>
      <c r="D263" s="28" t="n">
        <f aca="false">DATE(2026,1,1)-690</f>
        <v>45333</v>
      </c>
      <c r="E263" s="29" t="s">
        <v>39</v>
      </c>
      <c r="F263" s="15" t="n">
        <v>2.3</v>
      </c>
      <c r="G263" s="30" t="n">
        <v>2.82</v>
      </c>
      <c r="H263" s="29" t="s">
        <v>9</v>
      </c>
      <c r="I263" s="31" t="n">
        <v>107973</v>
      </c>
    </row>
    <row r="264" customFormat="false" ht="19.5" hidden="false" customHeight="true" outlineLevel="0" collapsed="false">
      <c r="A264" s="20" t="s">
        <v>326</v>
      </c>
      <c r="B264" s="21" t="s">
        <v>24</v>
      </c>
      <c r="C264" s="21" t="s">
        <v>90</v>
      </c>
      <c r="D264" s="22" t="n">
        <f aca="false">DATE(2026,1,1)-1745</f>
        <v>44278</v>
      </c>
      <c r="E264" s="23" t="s">
        <v>52</v>
      </c>
      <c r="F264" s="19" t="n">
        <v>3.7</v>
      </c>
      <c r="G264" s="24" t="n">
        <v>4.5</v>
      </c>
      <c r="H264" s="23" t="s">
        <v>42</v>
      </c>
      <c r="I264" s="25" t="n">
        <v>70015</v>
      </c>
    </row>
    <row r="265" customFormat="false" ht="19.5" hidden="false" customHeight="true" outlineLevel="0" collapsed="false">
      <c r="A265" s="26" t="s">
        <v>327</v>
      </c>
      <c r="B265" s="27" t="s">
        <v>20</v>
      </c>
      <c r="C265" s="27" t="s">
        <v>78</v>
      </c>
      <c r="D265" s="28" t="n">
        <f aca="false">DATE(2026,1,1)-1243</f>
        <v>44780</v>
      </c>
      <c r="E265" s="29" t="s">
        <v>45</v>
      </c>
      <c r="F265" s="15" t="n">
        <v>1.1</v>
      </c>
      <c r="G265" s="30" t="n">
        <v>4.5</v>
      </c>
      <c r="H265" s="29" t="s">
        <v>9</v>
      </c>
      <c r="I265" s="31" t="n">
        <v>103198</v>
      </c>
    </row>
    <row r="266" customFormat="false" ht="19.5" hidden="false" customHeight="true" outlineLevel="0" collapsed="false">
      <c r="A266" s="20" t="s">
        <v>328</v>
      </c>
      <c r="B266" s="21" t="s">
        <v>27</v>
      </c>
      <c r="C266" s="21" t="s">
        <v>54</v>
      </c>
      <c r="D266" s="22" t="n">
        <f aca="false">DATE(2026,1,1)-1354</f>
        <v>44669</v>
      </c>
      <c r="E266" s="23" t="s">
        <v>57</v>
      </c>
      <c r="F266" s="19" t="n">
        <v>5.3</v>
      </c>
      <c r="G266" s="24" t="n">
        <v>4.31</v>
      </c>
      <c r="H266" s="23" t="s">
        <v>9</v>
      </c>
      <c r="I266" s="25" t="n">
        <v>48297</v>
      </c>
    </row>
    <row r="267" customFormat="false" ht="19.5" hidden="false" customHeight="true" outlineLevel="0" collapsed="false">
      <c r="A267" s="26" t="s">
        <v>329</v>
      </c>
      <c r="B267" s="27" t="s">
        <v>20</v>
      </c>
      <c r="C267" s="27" t="s">
        <v>38</v>
      </c>
      <c r="D267" s="28" t="n">
        <f aca="false">DATE(2026,1,1)-233</f>
        <v>45790</v>
      </c>
      <c r="E267" s="29" t="s">
        <v>45</v>
      </c>
      <c r="F267" s="15" t="n">
        <v>3.7</v>
      </c>
      <c r="G267" s="30" t="n">
        <v>3.24</v>
      </c>
      <c r="H267" s="29" t="s">
        <v>9</v>
      </c>
      <c r="I267" s="31" t="n">
        <v>88443</v>
      </c>
    </row>
    <row r="268" customFormat="false" ht="19.5" hidden="false" customHeight="true" outlineLevel="0" collapsed="false">
      <c r="A268" s="20" t="s">
        <v>330</v>
      </c>
      <c r="B268" s="21" t="s">
        <v>16</v>
      </c>
      <c r="C268" s="21" t="s">
        <v>204</v>
      </c>
      <c r="D268" s="22" t="n">
        <f aca="false">DATE(2026,1,1)-1330</f>
        <v>44693</v>
      </c>
      <c r="E268" s="23" t="s">
        <v>60</v>
      </c>
      <c r="F268" s="19" t="n">
        <v>5.1</v>
      </c>
      <c r="G268" s="24" t="n">
        <v>3.64</v>
      </c>
      <c r="H268" s="23" t="s">
        <v>9</v>
      </c>
      <c r="I268" s="25" t="n">
        <v>71030</v>
      </c>
    </row>
    <row r="269" customFormat="false" ht="19.5" hidden="false" customHeight="true" outlineLevel="0" collapsed="false">
      <c r="A269" s="26" t="s">
        <v>331</v>
      </c>
      <c r="B269" s="27" t="s">
        <v>22</v>
      </c>
      <c r="C269" s="27" t="s">
        <v>56</v>
      </c>
      <c r="D269" s="28" t="n">
        <f aca="false">DATE(2026,1,1)-2032</f>
        <v>43991</v>
      </c>
      <c r="E269" s="29" t="s">
        <v>57</v>
      </c>
      <c r="F269" s="15" t="n">
        <v>2.9</v>
      </c>
      <c r="G269" s="30" t="n">
        <v>4.24</v>
      </c>
      <c r="H269" s="29" t="s">
        <v>9</v>
      </c>
      <c r="I269" s="31" t="n">
        <v>67364</v>
      </c>
    </row>
    <row r="270" customFormat="false" ht="19.5" hidden="false" customHeight="true" outlineLevel="0" collapsed="false">
      <c r="A270" s="20" t="s">
        <v>332</v>
      </c>
      <c r="B270" s="21" t="s">
        <v>24</v>
      </c>
      <c r="C270" s="21" t="s">
        <v>47</v>
      </c>
      <c r="D270" s="22" t="n">
        <f aca="false">DATE(2026,1,1)-1555</f>
        <v>44468</v>
      </c>
      <c r="E270" s="23" t="s">
        <v>48</v>
      </c>
      <c r="F270" s="19" t="n">
        <v>1.9</v>
      </c>
      <c r="G270" s="24" t="n">
        <v>2.88</v>
      </c>
      <c r="H270" s="23" t="s">
        <v>9</v>
      </c>
      <c r="I270" s="25" t="n">
        <v>131798</v>
      </c>
    </row>
    <row r="271" customFormat="false" ht="19.5" hidden="false" customHeight="true" outlineLevel="0" collapsed="false">
      <c r="A271" s="26" t="s">
        <v>333</v>
      </c>
      <c r="B271" s="27" t="s">
        <v>26</v>
      </c>
      <c r="C271" s="27" t="s">
        <v>81</v>
      </c>
      <c r="D271" s="28" t="n">
        <f aca="false">DATE(2026,1,1)-1387</f>
        <v>44636</v>
      </c>
      <c r="E271" s="29" t="s">
        <v>45</v>
      </c>
      <c r="F271" s="15" t="n">
        <v>6.9</v>
      </c>
      <c r="G271" s="30" t="n">
        <v>3.3</v>
      </c>
      <c r="H271" s="29" t="s">
        <v>9</v>
      </c>
      <c r="I271" s="31" t="n">
        <v>85922</v>
      </c>
    </row>
    <row r="272" customFormat="false" ht="19.5" hidden="false" customHeight="true" outlineLevel="0" collapsed="false">
      <c r="A272" s="20" t="s">
        <v>334</v>
      </c>
      <c r="B272" s="21" t="s">
        <v>16</v>
      </c>
      <c r="C272" s="21" t="s">
        <v>158</v>
      </c>
      <c r="D272" s="22" t="n">
        <f aca="false">DATE(2026,1,1)-1142</f>
        <v>44881</v>
      </c>
      <c r="E272" s="23" t="s">
        <v>57</v>
      </c>
      <c r="F272" s="19" t="n">
        <v>0.8</v>
      </c>
      <c r="G272" s="24" t="n">
        <v>3.35</v>
      </c>
      <c r="H272" s="23" t="s">
        <v>9</v>
      </c>
      <c r="I272" s="25" t="n">
        <v>80183</v>
      </c>
    </row>
    <row r="273" customFormat="false" ht="19.5" hidden="false" customHeight="true" outlineLevel="0" collapsed="false">
      <c r="A273" s="26" t="s">
        <v>335</v>
      </c>
      <c r="B273" s="27" t="s">
        <v>24</v>
      </c>
      <c r="C273" s="27" t="s">
        <v>47</v>
      </c>
      <c r="D273" s="28" t="n">
        <f aca="false">DATE(2026,1,1)-1922</f>
        <v>44101</v>
      </c>
      <c r="E273" s="29" t="s">
        <v>57</v>
      </c>
      <c r="F273" s="15" t="n">
        <v>3.9</v>
      </c>
      <c r="G273" s="30" t="n">
        <v>4.08</v>
      </c>
      <c r="H273" s="29" t="s">
        <v>9</v>
      </c>
      <c r="I273" s="31" t="n">
        <v>72861</v>
      </c>
    </row>
    <row r="274" customFormat="false" ht="19.5" hidden="false" customHeight="true" outlineLevel="0" collapsed="false">
      <c r="A274" s="20" t="s">
        <v>336</v>
      </c>
      <c r="B274" s="21" t="s">
        <v>22</v>
      </c>
      <c r="C274" s="21" t="s">
        <v>56</v>
      </c>
      <c r="D274" s="22" t="n">
        <f aca="false">DATE(2026,1,1)-100</f>
        <v>45923</v>
      </c>
      <c r="E274" s="23" t="s">
        <v>45</v>
      </c>
      <c r="F274" s="19" t="n">
        <v>1.5</v>
      </c>
      <c r="G274" s="24" t="n">
        <v>4.36</v>
      </c>
      <c r="H274" s="23" t="s">
        <v>9</v>
      </c>
      <c r="I274" s="25" t="n">
        <v>90411</v>
      </c>
    </row>
    <row r="275" customFormat="false" ht="19.5" hidden="false" customHeight="true" outlineLevel="0" collapsed="false">
      <c r="A275" s="26" t="s">
        <v>337</v>
      </c>
      <c r="B275" s="27" t="s">
        <v>22</v>
      </c>
      <c r="C275" s="27" t="s">
        <v>50</v>
      </c>
      <c r="D275" s="28" t="n">
        <f aca="false">DATE(2026,1,1)-511</f>
        <v>45512</v>
      </c>
      <c r="E275" s="29" t="s">
        <v>52</v>
      </c>
      <c r="F275" s="15" t="n">
        <v>0.9</v>
      </c>
      <c r="G275" s="30" t="n">
        <v>2.82</v>
      </c>
      <c r="H275" s="29" t="s">
        <v>9</v>
      </c>
      <c r="I275" s="31" t="n">
        <v>122182</v>
      </c>
    </row>
    <row r="276" customFormat="false" ht="19.5" hidden="false" customHeight="true" outlineLevel="0" collapsed="false">
      <c r="A276" s="20" t="s">
        <v>338</v>
      </c>
      <c r="B276" s="21" t="s">
        <v>26</v>
      </c>
      <c r="C276" s="21" t="s">
        <v>41</v>
      </c>
      <c r="D276" s="22" t="n">
        <f aca="false">DATE(2026,1,1)-442</f>
        <v>45581</v>
      </c>
      <c r="E276" s="23" t="s">
        <v>57</v>
      </c>
      <c r="F276" s="19" t="n">
        <v>1.2</v>
      </c>
      <c r="G276" s="24" t="n">
        <v>3.46</v>
      </c>
      <c r="H276" s="23" t="s">
        <v>9</v>
      </c>
      <c r="I276" s="25" t="n">
        <v>67089</v>
      </c>
    </row>
    <row r="277" customFormat="false" ht="19.5" hidden="false" customHeight="true" outlineLevel="0" collapsed="false">
      <c r="A277" s="26" t="s">
        <v>339</v>
      </c>
      <c r="B277" s="27" t="s">
        <v>26</v>
      </c>
      <c r="C277" s="27" t="s">
        <v>110</v>
      </c>
      <c r="D277" s="28" t="n">
        <f aca="false">DATE(2026,1,1)-1271</f>
        <v>44752</v>
      </c>
      <c r="E277" s="29" t="s">
        <v>63</v>
      </c>
      <c r="F277" s="15" t="n">
        <v>1.8</v>
      </c>
      <c r="G277" s="30" t="n">
        <v>4.33</v>
      </c>
      <c r="H277" s="29" t="s">
        <v>9</v>
      </c>
      <c r="I277" s="31" t="n">
        <v>79406</v>
      </c>
    </row>
    <row r="278" customFormat="false" ht="19.5" hidden="false" customHeight="true" outlineLevel="0" collapsed="false">
      <c r="A278" s="20" t="s">
        <v>340</v>
      </c>
      <c r="B278" s="21" t="s">
        <v>22</v>
      </c>
      <c r="C278" s="21" t="s">
        <v>56</v>
      </c>
      <c r="D278" s="22" t="n">
        <f aca="false">DATE(2026,1,1)-187</f>
        <v>45836</v>
      </c>
      <c r="E278" s="23" t="s">
        <v>52</v>
      </c>
      <c r="F278" s="19" t="n">
        <v>6.5</v>
      </c>
      <c r="G278" s="24" t="n">
        <v>4.44</v>
      </c>
      <c r="H278" s="23" t="s">
        <v>9</v>
      </c>
      <c r="I278" s="25" t="n">
        <v>64267</v>
      </c>
    </row>
    <row r="279" customFormat="false" ht="19.5" hidden="false" customHeight="true" outlineLevel="0" collapsed="false">
      <c r="A279" s="26" t="s">
        <v>341</v>
      </c>
      <c r="B279" s="27" t="s">
        <v>16</v>
      </c>
      <c r="C279" s="27" t="s">
        <v>158</v>
      </c>
      <c r="D279" s="28" t="n">
        <f aca="false">DATE(2026,1,1)-243</f>
        <v>45780</v>
      </c>
      <c r="E279" s="29" t="s">
        <v>63</v>
      </c>
      <c r="F279" s="15" t="n">
        <v>2.3</v>
      </c>
      <c r="G279" s="30" t="n">
        <v>3.68</v>
      </c>
      <c r="H279" s="29" t="s">
        <v>9</v>
      </c>
      <c r="I279" s="31" t="n">
        <v>60154</v>
      </c>
    </row>
    <row r="280" customFormat="false" ht="19.5" hidden="false" customHeight="true" outlineLevel="0" collapsed="false">
      <c r="A280" s="20" t="s">
        <v>342</v>
      </c>
      <c r="B280" s="21" t="s">
        <v>20</v>
      </c>
      <c r="C280" s="21" t="s">
        <v>38</v>
      </c>
      <c r="D280" s="22" t="n">
        <f aca="false">DATE(2026,1,1)-163</f>
        <v>45860</v>
      </c>
      <c r="E280" s="23" t="s">
        <v>48</v>
      </c>
      <c r="F280" s="19" t="n">
        <v>1.1</v>
      </c>
      <c r="G280" s="24" t="n">
        <v>3</v>
      </c>
      <c r="H280" s="23" t="s">
        <v>9</v>
      </c>
      <c r="I280" s="25" t="n">
        <v>105652</v>
      </c>
    </row>
    <row r="281" customFormat="false" ht="19.5" hidden="false" customHeight="true" outlineLevel="0" collapsed="false">
      <c r="A281" s="26" t="s">
        <v>343</v>
      </c>
      <c r="B281" s="27" t="s">
        <v>16</v>
      </c>
      <c r="C281" s="27" t="s">
        <v>158</v>
      </c>
      <c r="D281" s="28" t="n">
        <f aca="false">DATE(2026,1,1)-1031</f>
        <v>44992</v>
      </c>
      <c r="E281" s="29" t="s">
        <v>45</v>
      </c>
      <c r="F281" s="15" t="n">
        <v>5.6</v>
      </c>
      <c r="G281" s="30" t="n">
        <v>4.56</v>
      </c>
      <c r="H281" s="29" t="s">
        <v>9</v>
      </c>
      <c r="I281" s="31" t="n">
        <v>65097</v>
      </c>
    </row>
    <row r="282" customFormat="false" ht="19.5" hidden="false" customHeight="true" outlineLevel="0" collapsed="false">
      <c r="A282" s="20" t="s">
        <v>344</v>
      </c>
      <c r="B282" s="21" t="s">
        <v>24</v>
      </c>
      <c r="C282" s="21" t="s">
        <v>59</v>
      </c>
      <c r="D282" s="22" t="n">
        <f aca="false">DATE(2026,1,1)-1271</f>
        <v>44752</v>
      </c>
      <c r="E282" s="23" t="s">
        <v>39</v>
      </c>
      <c r="F282" s="19" t="n">
        <v>2.2</v>
      </c>
      <c r="G282" s="24" t="n">
        <v>3.17</v>
      </c>
      <c r="H282" s="23" t="s">
        <v>9</v>
      </c>
      <c r="I282" s="25" t="n">
        <v>126328</v>
      </c>
    </row>
    <row r="283" customFormat="false" ht="19.5" hidden="false" customHeight="true" outlineLevel="0" collapsed="false">
      <c r="A283" s="26" t="s">
        <v>345</v>
      </c>
      <c r="B283" s="27" t="s">
        <v>22</v>
      </c>
      <c r="C283" s="27" t="s">
        <v>56</v>
      </c>
      <c r="D283" s="28" t="n">
        <f aca="false">DATE(2026,1,1)-168</f>
        <v>45855</v>
      </c>
      <c r="E283" s="29" t="s">
        <v>63</v>
      </c>
      <c r="F283" s="15" t="n">
        <v>6.6</v>
      </c>
      <c r="G283" s="30" t="n">
        <v>3.05</v>
      </c>
      <c r="H283" s="29" t="s">
        <v>9</v>
      </c>
      <c r="I283" s="31" t="n">
        <v>118089</v>
      </c>
    </row>
    <row r="284" customFormat="false" ht="19.5" hidden="false" customHeight="true" outlineLevel="0" collapsed="false">
      <c r="A284" s="20" t="s">
        <v>346</v>
      </c>
      <c r="B284" s="21" t="s">
        <v>18</v>
      </c>
      <c r="C284" s="21" t="s">
        <v>66</v>
      </c>
      <c r="D284" s="22" t="n">
        <f aca="false">DATE(2026,1,1)-1474</f>
        <v>44549</v>
      </c>
      <c r="E284" s="23" t="s">
        <v>48</v>
      </c>
      <c r="F284" s="19" t="n">
        <v>3.7</v>
      </c>
      <c r="G284" s="24" t="n">
        <v>4.3</v>
      </c>
      <c r="H284" s="23" t="s">
        <v>9</v>
      </c>
      <c r="I284" s="25" t="n">
        <v>59756</v>
      </c>
    </row>
    <row r="285" customFormat="false" ht="19.5" hidden="false" customHeight="true" outlineLevel="0" collapsed="false">
      <c r="A285" s="26" t="s">
        <v>347</v>
      </c>
      <c r="B285" s="27" t="s">
        <v>16</v>
      </c>
      <c r="C285" s="27" t="s">
        <v>100</v>
      </c>
      <c r="D285" s="28" t="n">
        <f aca="false">DATE(2026,1,1)-1577</f>
        <v>44446</v>
      </c>
      <c r="E285" s="29" t="s">
        <v>57</v>
      </c>
      <c r="F285" s="15" t="n">
        <v>3</v>
      </c>
      <c r="G285" s="30" t="n">
        <v>4.61</v>
      </c>
      <c r="H285" s="29" t="s">
        <v>9</v>
      </c>
      <c r="I285" s="31" t="n">
        <v>94099</v>
      </c>
    </row>
    <row r="286" customFormat="false" ht="19.5" hidden="false" customHeight="true" outlineLevel="0" collapsed="false">
      <c r="A286" s="20" t="s">
        <v>348</v>
      </c>
      <c r="B286" s="21" t="s">
        <v>26</v>
      </c>
      <c r="C286" s="21" t="s">
        <v>81</v>
      </c>
      <c r="D286" s="22" t="n">
        <f aca="false">DATE(2026,1,1)-1562</f>
        <v>44461</v>
      </c>
      <c r="E286" s="23" t="s">
        <v>45</v>
      </c>
      <c r="F286" s="19" t="n">
        <v>2.7</v>
      </c>
      <c r="G286" s="24" t="n">
        <v>4.02</v>
      </c>
      <c r="H286" s="23" t="s">
        <v>9</v>
      </c>
      <c r="I286" s="25" t="n">
        <v>65520</v>
      </c>
    </row>
    <row r="287" customFormat="false" ht="19.5" hidden="false" customHeight="true" outlineLevel="0" collapsed="false">
      <c r="A287" s="26" t="s">
        <v>349</v>
      </c>
      <c r="B287" s="27" t="s">
        <v>18</v>
      </c>
      <c r="C287" s="27" t="s">
        <v>66</v>
      </c>
      <c r="D287" s="28" t="n">
        <f aca="false">DATE(2026,1,1)-857</f>
        <v>45166</v>
      </c>
      <c r="E287" s="29" t="s">
        <v>39</v>
      </c>
      <c r="F287" s="15" t="n">
        <v>5.6</v>
      </c>
      <c r="G287" s="30" t="n">
        <v>3.52</v>
      </c>
      <c r="H287" s="29" t="s">
        <v>9</v>
      </c>
      <c r="I287" s="31" t="n">
        <v>130011</v>
      </c>
    </row>
    <row r="288" customFormat="false" ht="19.5" hidden="false" customHeight="true" outlineLevel="0" collapsed="false">
      <c r="A288" s="20" t="s">
        <v>350</v>
      </c>
      <c r="B288" s="21" t="s">
        <v>24</v>
      </c>
      <c r="C288" s="21" t="s">
        <v>90</v>
      </c>
      <c r="D288" s="22" t="n">
        <f aca="false">DATE(2026,1,1)-472</f>
        <v>45551</v>
      </c>
      <c r="E288" s="23" t="s">
        <v>63</v>
      </c>
      <c r="F288" s="19" t="n">
        <v>2</v>
      </c>
      <c r="G288" s="24" t="n">
        <v>4.61</v>
      </c>
      <c r="H288" s="23" t="s">
        <v>9</v>
      </c>
      <c r="I288" s="25" t="n">
        <v>82816</v>
      </c>
    </row>
    <row r="289" customFormat="false" ht="19.5" hidden="false" customHeight="true" outlineLevel="0" collapsed="false">
      <c r="A289" s="26" t="s">
        <v>351</v>
      </c>
      <c r="B289" s="27" t="s">
        <v>24</v>
      </c>
      <c r="C289" s="27" t="s">
        <v>47</v>
      </c>
      <c r="D289" s="28" t="n">
        <f aca="false">DATE(2026,1,1)-1228</f>
        <v>44795</v>
      </c>
      <c r="E289" s="29" t="s">
        <v>48</v>
      </c>
      <c r="F289" s="15" t="n">
        <v>6.9</v>
      </c>
      <c r="G289" s="30" t="n">
        <v>3.68</v>
      </c>
      <c r="H289" s="29" t="s">
        <v>9</v>
      </c>
      <c r="I289" s="31" t="n">
        <v>116644</v>
      </c>
    </row>
    <row r="290" customFormat="false" ht="19.5" hidden="false" customHeight="true" outlineLevel="0" collapsed="false">
      <c r="A290" s="20" t="s">
        <v>352</v>
      </c>
      <c r="B290" s="21" t="s">
        <v>20</v>
      </c>
      <c r="C290" s="21" t="s">
        <v>78</v>
      </c>
      <c r="D290" s="22" t="n">
        <f aca="false">DATE(2026,1,1)-1105</f>
        <v>44918</v>
      </c>
      <c r="E290" s="23" t="s">
        <v>39</v>
      </c>
      <c r="F290" s="19" t="n">
        <v>2.1</v>
      </c>
      <c r="G290" s="24" t="n">
        <v>4.64</v>
      </c>
      <c r="H290" s="23" t="s">
        <v>9</v>
      </c>
      <c r="I290" s="25" t="n">
        <v>124957</v>
      </c>
    </row>
    <row r="291" customFormat="false" ht="19.5" hidden="false" customHeight="true" outlineLevel="0" collapsed="false">
      <c r="A291" s="26" t="s">
        <v>353</v>
      </c>
      <c r="B291" s="27" t="s">
        <v>26</v>
      </c>
      <c r="C291" s="27" t="s">
        <v>41</v>
      </c>
      <c r="D291" s="28" t="n">
        <f aca="false">DATE(2026,1,1)-258</f>
        <v>45765</v>
      </c>
      <c r="E291" s="29" t="s">
        <v>48</v>
      </c>
      <c r="F291" s="15" t="n">
        <v>2.5</v>
      </c>
      <c r="G291" s="30" t="n">
        <v>4.57</v>
      </c>
      <c r="H291" s="29" t="s">
        <v>9</v>
      </c>
      <c r="I291" s="31" t="n">
        <v>46131</v>
      </c>
    </row>
    <row r="292" customFormat="false" ht="19.5" hidden="false" customHeight="true" outlineLevel="0" collapsed="false">
      <c r="A292" s="20" t="s">
        <v>354</v>
      </c>
      <c r="B292" s="21" t="s">
        <v>27</v>
      </c>
      <c r="C292" s="21" t="s">
        <v>96</v>
      </c>
      <c r="D292" s="22" t="n">
        <f aca="false">DATE(2026,1,1)-1982</f>
        <v>44041</v>
      </c>
      <c r="E292" s="23" t="s">
        <v>52</v>
      </c>
      <c r="F292" s="19" t="n">
        <v>3.6</v>
      </c>
      <c r="G292" s="24" t="n">
        <v>3.29</v>
      </c>
      <c r="H292" s="23" t="s">
        <v>9</v>
      </c>
      <c r="I292" s="25" t="n">
        <v>111877</v>
      </c>
    </row>
    <row r="293" customFormat="false" ht="19.5" hidden="false" customHeight="true" outlineLevel="0" collapsed="false">
      <c r="A293" s="26" t="s">
        <v>355</v>
      </c>
      <c r="B293" s="27" t="s">
        <v>27</v>
      </c>
      <c r="C293" s="27" t="s">
        <v>54</v>
      </c>
      <c r="D293" s="28" t="n">
        <f aca="false">DATE(2026,1,1)-1563</f>
        <v>44460</v>
      </c>
      <c r="E293" s="29" t="s">
        <v>48</v>
      </c>
      <c r="F293" s="15" t="n">
        <v>7.1</v>
      </c>
      <c r="G293" s="30" t="n">
        <v>4.81</v>
      </c>
      <c r="H293" s="29" t="s">
        <v>9</v>
      </c>
      <c r="I293" s="31" t="n">
        <v>138368</v>
      </c>
    </row>
    <row r="294" customFormat="false" ht="19.5" hidden="false" customHeight="true" outlineLevel="0" collapsed="false">
      <c r="A294" s="20" t="s">
        <v>356</v>
      </c>
      <c r="B294" s="21" t="s">
        <v>20</v>
      </c>
      <c r="C294" s="21" t="s">
        <v>47</v>
      </c>
      <c r="D294" s="22" t="n">
        <f aca="false">DATE(2026,1,1)-855</f>
        <v>45168</v>
      </c>
      <c r="E294" s="23" t="s">
        <v>52</v>
      </c>
      <c r="F294" s="19" t="n">
        <v>7.7</v>
      </c>
      <c r="G294" s="24" t="n">
        <v>4.48</v>
      </c>
      <c r="H294" s="23" t="s">
        <v>9</v>
      </c>
      <c r="I294" s="25" t="n">
        <v>94754</v>
      </c>
    </row>
    <row r="295" customFormat="false" ht="19.5" hidden="false" customHeight="true" outlineLevel="0" collapsed="false">
      <c r="A295" s="26" t="s">
        <v>357</v>
      </c>
      <c r="B295" s="27" t="s">
        <v>24</v>
      </c>
      <c r="C295" s="27" t="s">
        <v>47</v>
      </c>
      <c r="D295" s="28" t="n">
        <f aca="false">DATE(2026,1,1)-2196</f>
        <v>43827</v>
      </c>
      <c r="E295" s="29" t="s">
        <v>63</v>
      </c>
      <c r="F295" s="15" t="n">
        <v>1.7</v>
      </c>
      <c r="G295" s="30" t="n">
        <v>4.63</v>
      </c>
      <c r="H295" s="29" t="s">
        <v>9</v>
      </c>
      <c r="I295" s="31" t="n">
        <v>118035</v>
      </c>
    </row>
    <row r="296" customFormat="false" ht="19.5" hidden="false" customHeight="true" outlineLevel="0" collapsed="false">
      <c r="A296" s="20" t="s">
        <v>358</v>
      </c>
      <c r="B296" s="21" t="s">
        <v>22</v>
      </c>
      <c r="C296" s="21" t="s">
        <v>38</v>
      </c>
      <c r="D296" s="22" t="n">
        <f aca="false">DATE(2026,1,1)-499</f>
        <v>45524</v>
      </c>
      <c r="E296" s="23" t="s">
        <v>39</v>
      </c>
      <c r="F296" s="19" t="n">
        <v>1</v>
      </c>
      <c r="G296" s="24" t="n">
        <v>4.06</v>
      </c>
      <c r="H296" s="23" t="s">
        <v>9</v>
      </c>
      <c r="I296" s="25" t="n">
        <v>129976</v>
      </c>
    </row>
    <row r="297" customFormat="false" ht="19.5" hidden="false" customHeight="true" outlineLevel="0" collapsed="false">
      <c r="A297" s="26" t="s">
        <v>359</v>
      </c>
      <c r="B297" s="27" t="s">
        <v>27</v>
      </c>
      <c r="C297" s="27" t="s">
        <v>72</v>
      </c>
      <c r="D297" s="28" t="n">
        <f aca="false">DATE(2026,1,1)-1852</f>
        <v>44171</v>
      </c>
      <c r="E297" s="29" t="s">
        <v>39</v>
      </c>
      <c r="F297" s="15" t="n">
        <v>4.8</v>
      </c>
      <c r="G297" s="30" t="n">
        <v>4.9</v>
      </c>
      <c r="H297" s="29" t="s">
        <v>9</v>
      </c>
      <c r="I297" s="31" t="n">
        <v>119100</v>
      </c>
    </row>
    <row r="298" customFormat="false" ht="19.5" hidden="false" customHeight="true" outlineLevel="0" collapsed="false">
      <c r="A298" s="20" t="s">
        <v>360</v>
      </c>
      <c r="B298" s="21" t="s">
        <v>18</v>
      </c>
      <c r="C298" s="21" t="s">
        <v>44</v>
      </c>
      <c r="D298" s="22" t="n">
        <f aca="false">DATE(2026,1,1)-346</f>
        <v>45677</v>
      </c>
      <c r="E298" s="23" t="s">
        <v>39</v>
      </c>
      <c r="F298" s="19" t="n">
        <v>4.6</v>
      </c>
      <c r="G298" s="24" t="n">
        <v>3.1</v>
      </c>
      <c r="H298" s="23" t="s">
        <v>9</v>
      </c>
      <c r="I298" s="25" t="n">
        <v>90586</v>
      </c>
    </row>
    <row r="299" customFormat="false" ht="19.5" hidden="false" customHeight="true" outlineLevel="0" collapsed="false">
      <c r="A299" s="26" t="s">
        <v>361</v>
      </c>
      <c r="B299" s="27" t="s">
        <v>18</v>
      </c>
      <c r="C299" s="27" t="s">
        <v>66</v>
      </c>
      <c r="D299" s="28" t="n">
        <f aca="false">DATE(2026,1,1)-925</f>
        <v>45098</v>
      </c>
      <c r="E299" s="29" t="s">
        <v>63</v>
      </c>
      <c r="F299" s="15" t="n">
        <v>1.6</v>
      </c>
      <c r="G299" s="30" t="n">
        <v>3.32</v>
      </c>
      <c r="H299" s="29" t="s">
        <v>42</v>
      </c>
      <c r="I299" s="31" t="n">
        <v>90480</v>
      </c>
    </row>
    <row r="300" customFormat="false" ht="19.5" hidden="false" customHeight="true" outlineLevel="0" collapsed="false">
      <c r="A300" s="20" t="s">
        <v>362</v>
      </c>
      <c r="B300" s="21" t="s">
        <v>20</v>
      </c>
      <c r="C300" s="21" t="s">
        <v>38</v>
      </c>
      <c r="D300" s="22" t="n">
        <f aca="false">DATE(2026,1,1)-2191</f>
        <v>43832</v>
      </c>
      <c r="E300" s="23" t="s">
        <v>52</v>
      </c>
      <c r="F300" s="19" t="n">
        <v>5.1</v>
      </c>
      <c r="G300" s="24" t="n">
        <v>2.96</v>
      </c>
      <c r="H300" s="23" t="s">
        <v>9</v>
      </c>
      <c r="I300" s="25" t="n">
        <v>86535</v>
      </c>
    </row>
    <row r="301" customFormat="false" ht="19.5" hidden="false" customHeight="true" outlineLevel="0" collapsed="false">
      <c r="A301" s="26" t="s">
        <v>363</v>
      </c>
      <c r="B301" s="27" t="s">
        <v>20</v>
      </c>
      <c r="C301" s="27" t="s">
        <v>47</v>
      </c>
      <c r="D301" s="28" t="n">
        <f aca="false">DATE(2026,1,1)-66</f>
        <v>45957</v>
      </c>
      <c r="E301" s="29" t="s">
        <v>48</v>
      </c>
      <c r="F301" s="15" t="n">
        <v>3</v>
      </c>
      <c r="G301" s="30" t="n">
        <v>2.93</v>
      </c>
      <c r="H301" s="29" t="s">
        <v>9</v>
      </c>
      <c r="I301" s="31" t="n">
        <v>71003</v>
      </c>
    </row>
    <row r="302" customFormat="false" ht="19.5" hidden="false" customHeight="true" outlineLevel="0" collapsed="false">
      <c r="A302" s="20" t="s">
        <v>364</v>
      </c>
      <c r="B302" s="21" t="s">
        <v>16</v>
      </c>
      <c r="C302" s="21" t="s">
        <v>158</v>
      </c>
      <c r="D302" s="22" t="n">
        <f aca="false">DATE(2026,1,1)-786</f>
        <v>45237</v>
      </c>
      <c r="E302" s="23" t="s">
        <v>39</v>
      </c>
      <c r="F302" s="19" t="n">
        <v>4.2</v>
      </c>
      <c r="G302" s="24" t="n">
        <v>3.58</v>
      </c>
      <c r="H302" s="23" t="s">
        <v>9</v>
      </c>
      <c r="I302" s="25" t="n">
        <v>110340</v>
      </c>
    </row>
    <row r="303" customFormat="false" ht="19.5" hidden="false" customHeight="true" outlineLevel="0" collapsed="false">
      <c r="A303" s="26" t="s">
        <v>365</v>
      </c>
      <c r="B303" s="27" t="s">
        <v>27</v>
      </c>
      <c r="C303" s="27" t="s">
        <v>96</v>
      </c>
      <c r="D303" s="28" t="n">
        <f aca="false">DATE(2026,1,1)-805</f>
        <v>45218</v>
      </c>
      <c r="E303" s="29" t="s">
        <v>57</v>
      </c>
      <c r="F303" s="15" t="n">
        <v>3.4</v>
      </c>
      <c r="G303" s="30" t="n">
        <v>4.51</v>
      </c>
      <c r="H303" s="29" t="s">
        <v>9</v>
      </c>
      <c r="I303" s="31" t="n">
        <v>134566</v>
      </c>
    </row>
    <row r="304" customFormat="false" ht="19.5" hidden="false" customHeight="true" outlineLevel="0" collapsed="false">
      <c r="A304" s="20" t="s">
        <v>366</v>
      </c>
      <c r="B304" s="21" t="s">
        <v>16</v>
      </c>
      <c r="C304" s="21" t="s">
        <v>158</v>
      </c>
      <c r="D304" s="22" t="n">
        <f aca="false">DATE(2026,1,1)-375</f>
        <v>45648</v>
      </c>
      <c r="E304" s="23" t="s">
        <v>52</v>
      </c>
      <c r="F304" s="19" t="n">
        <v>4</v>
      </c>
      <c r="G304" s="24" t="n">
        <v>4.4</v>
      </c>
      <c r="H304" s="23" t="s">
        <v>9</v>
      </c>
      <c r="I304" s="25" t="n">
        <v>82050</v>
      </c>
    </row>
    <row r="305" customFormat="false" ht="19.5" hidden="false" customHeight="true" outlineLevel="0" collapsed="false">
      <c r="A305" s="26" t="s">
        <v>367</v>
      </c>
      <c r="B305" s="27" t="s">
        <v>26</v>
      </c>
      <c r="C305" s="27" t="s">
        <v>81</v>
      </c>
      <c r="D305" s="28" t="n">
        <f aca="false">DATE(2026,1,1)-1771</f>
        <v>44252</v>
      </c>
      <c r="E305" s="29" t="s">
        <v>48</v>
      </c>
      <c r="F305" s="15" t="n">
        <v>3.2</v>
      </c>
      <c r="G305" s="30" t="n">
        <v>3.69</v>
      </c>
      <c r="H305" s="29" t="s">
        <v>9</v>
      </c>
      <c r="I305" s="31" t="n">
        <v>64134</v>
      </c>
    </row>
    <row r="306" customFormat="false" ht="19.5" hidden="false" customHeight="true" outlineLevel="0" collapsed="false">
      <c r="A306" s="20" t="s">
        <v>368</v>
      </c>
      <c r="B306" s="21" t="s">
        <v>22</v>
      </c>
      <c r="C306" s="21" t="s">
        <v>56</v>
      </c>
      <c r="D306" s="22" t="n">
        <f aca="false">DATE(2026,1,1)-522</f>
        <v>45501</v>
      </c>
      <c r="E306" s="23" t="s">
        <v>52</v>
      </c>
      <c r="F306" s="19" t="n">
        <v>4.3</v>
      </c>
      <c r="G306" s="24" t="n">
        <v>3.29</v>
      </c>
      <c r="H306" s="23" t="s">
        <v>9</v>
      </c>
      <c r="I306" s="25" t="n">
        <v>107082</v>
      </c>
    </row>
    <row r="307" customFormat="false" ht="19.5" hidden="false" customHeight="true" outlineLevel="0" collapsed="false">
      <c r="A307" s="26" t="s">
        <v>369</v>
      </c>
      <c r="B307" s="27" t="s">
        <v>26</v>
      </c>
      <c r="C307" s="27" t="s">
        <v>81</v>
      </c>
      <c r="D307" s="28" t="n">
        <f aca="false">DATE(2026,1,1)-762</f>
        <v>45261</v>
      </c>
      <c r="E307" s="29" t="s">
        <v>60</v>
      </c>
      <c r="F307" s="15" t="n">
        <v>2.2</v>
      </c>
      <c r="G307" s="30" t="n">
        <v>4.38</v>
      </c>
      <c r="H307" s="29" t="s">
        <v>9</v>
      </c>
      <c r="I307" s="31" t="n">
        <v>108275</v>
      </c>
    </row>
    <row r="308" customFormat="false" ht="19.5" hidden="false" customHeight="true" outlineLevel="0" collapsed="false">
      <c r="A308" s="20" t="s">
        <v>370</v>
      </c>
      <c r="B308" s="21" t="s">
        <v>22</v>
      </c>
      <c r="C308" s="21" t="s">
        <v>38</v>
      </c>
      <c r="D308" s="22" t="n">
        <f aca="false">DATE(2026,1,1)-205</f>
        <v>45818</v>
      </c>
      <c r="E308" s="23" t="s">
        <v>60</v>
      </c>
      <c r="F308" s="19" t="n">
        <v>2.4</v>
      </c>
      <c r="G308" s="24" t="n">
        <v>3.64</v>
      </c>
      <c r="H308" s="23" t="s">
        <v>9</v>
      </c>
      <c r="I308" s="25" t="n">
        <v>127288</v>
      </c>
    </row>
    <row r="309" customFormat="false" ht="19.5" hidden="false" customHeight="true" outlineLevel="0" collapsed="false">
      <c r="A309" s="26" t="s">
        <v>371</v>
      </c>
      <c r="B309" s="27" t="s">
        <v>26</v>
      </c>
      <c r="C309" s="27" t="s">
        <v>81</v>
      </c>
      <c r="D309" s="28" t="n">
        <f aca="false">DATE(2026,1,1)-717</f>
        <v>45306</v>
      </c>
      <c r="E309" s="29" t="s">
        <v>48</v>
      </c>
      <c r="F309" s="15" t="n">
        <v>6.4</v>
      </c>
      <c r="G309" s="30" t="n">
        <v>4.79</v>
      </c>
      <c r="H309" s="29" t="s">
        <v>9</v>
      </c>
      <c r="I309" s="31" t="n">
        <v>98315</v>
      </c>
    </row>
    <row r="310" customFormat="false" ht="19.5" hidden="false" customHeight="true" outlineLevel="0" collapsed="false">
      <c r="A310" s="20" t="s">
        <v>372</v>
      </c>
      <c r="B310" s="21" t="s">
        <v>26</v>
      </c>
      <c r="C310" s="21" t="s">
        <v>81</v>
      </c>
      <c r="D310" s="22" t="n">
        <f aca="false">DATE(2026,1,1)-1118</f>
        <v>44905</v>
      </c>
      <c r="E310" s="23" t="s">
        <v>63</v>
      </c>
      <c r="F310" s="19" t="n">
        <v>0.8</v>
      </c>
      <c r="G310" s="24" t="n">
        <v>3.24</v>
      </c>
      <c r="H310" s="23" t="s">
        <v>9</v>
      </c>
      <c r="I310" s="25" t="n">
        <v>63550</v>
      </c>
    </row>
    <row r="311" customFormat="false" ht="19.5" hidden="false" customHeight="true" outlineLevel="0" collapsed="false">
      <c r="A311" s="26" t="s">
        <v>373</v>
      </c>
      <c r="B311" s="27" t="s">
        <v>18</v>
      </c>
      <c r="C311" s="27" t="s">
        <v>66</v>
      </c>
      <c r="D311" s="28" t="n">
        <f aca="false">DATE(2026,1,1)-2198</f>
        <v>43825</v>
      </c>
      <c r="E311" s="29" t="s">
        <v>39</v>
      </c>
      <c r="F311" s="15" t="n">
        <v>2.1</v>
      </c>
      <c r="G311" s="30" t="n">
        <v>3.36</v>
      </c>
      <c r="H311" s="29" t="s">
        <v>9</v>
      </c>
      <c r="I311" s="31" t="n">
        <v>139278</v>
      </c>
    </row>
    <row r="312" customFormat="false" ht="19.5" hidden="false" customHeight="true" outlineLevel="0" collapsed="false">
      <c r="A312" s="20" t="s">
        <v>374</v>
      </c>
      <c r="B312" s="21" t="s">
        <v>24</v>
      </c>
      <c r="C312" s="21" t="s">
        <v>47</v>
      </c>
      <c r="D312" s="22" t="n">
        <f aca="false">DATE(2026,1,1)-272</f>
        <v>45751</v>
      </c>
      <c r="E312" s="23" t="s">
        <v>48</v>
      </c>
      <c r="F312" s="19" t="n">
        <v>4.7</v>
      </c>
      <c r="G312" s="24" t="n">
        <v>3.49</v>
      </c>
      <c r="H312" s="23" t="s">
        <v>9</v>
      </c>
      <c r="I312" s="25" t="n">
        <v>130534</v>
      </c>
    </row>
    <row r="313" customFormat="false" ht="19.5" hidden="false" customHeight="true" outlineLevel="0" collapsed="false">
      <c r="A313" s="26" t="s">
        <v>375</v>
      </c>
      <c r="B313" s="27" t="s">
        <v>22</v>
      </c>
      <c r="C313" s="27" t="s">
        <v>56</v>
      </c>
      <c r="D313" s="28" t="n">
        <f aca="false">DATE(2026,1,1)-670</f>
        <v>45353</v>
      </c>
      <c r="E313" s="29" t="s">
        <v>39</v>
      </c>
      <c r="F313" s="15" t="n">
        <v>1.8</v>
      </c>
      <c r="G313" s="30" t="n">
        <v>4.46</v>
      </c>
      <c r="H313" s="29" t="s">
        <v>42</v>
      </c>
      <c r="I313" s="31" t="n">
        <v>101837</v>
      </c>
    </row>
    <row r="314" customFormat="false" ht="19.5" hidden="false" customHeight="true" outlineLevel="0" collapsed="false">
      <c r="A314" s="20" t="s">
        <v>376</v>
      </c>
      <c r="B314" s="21" t="s">
        <v>27</v>
      </c>
      <c r="C314" s="21" t="s">
        <v>96</v>
      </c>
      <c r="D314" s="22" t="n">
        <f aca="false">DATE(2026,1,1)-2058</f>
        <v>43965</v>
      </c>
      <c r="E314" s="23" t="s">
        <v>63</v>
      </c>
      <c r="F314" s="19" t="n">
        <v>4.5</v>
      </c>
      <c r="G314" s="24" t="n">
        <v>3.03</v>
      </c>
      <c r="H314" s="23" t="s">
        <v>9</v>
      </c>
      <c r="I314" s="25" t="n">
        <v>76044</v>
      </c>
    </row>
    <row r="315" customFormat="false" ht="19.5" hidden="false" customHeight="true" outlineLevel="0" collapsed="false">
      <c r="A315" s="26" t="s">
        <v>377</v>
      </c>
      <c r="B315" s="27" t="s">
        <v>22</v>
      </c>
      <c r="C315" s="27" t="s">
        <v>38</v>
      </c>
      <c r="D315" s="28" t="n">
        <f aca="false">DATE(2026,1,1)-1261</f>
        <v>44762</v>
      </c>
      <c r="E315" s="29" t="s">
        <v>39</v>
      </c>
      <c r="F315" s="15" t="n">
        <v>7.8</v>
      </c>
      <c r="G315" s="30" t="n">
        <v>4.1</v>
      </c>
      <c r="H315" s="29" t="s">
        <v>9</v>
      </c>
      <c r="I315" s="31" t="n">
        <v>50993</v>
      </c>
    </row>
    <row r="316" customFormat="false" ht="19.5" hidden="false" customHeight="true" outlineLevel="0" collapsed="false">
      <c r="A316" s="20" t="s">
        <v>378</v>
      </c>
      <c r="B316" s="21" t="s">
        <v>22</v>
      </c>
      <c r="C316" s="21" t="s">
        <v>56</v>
      </c>
      <c r="D316" s="22" t="n">
        <f aca="false">DATE(2026,1,1)-870</f>
        <v>45153</v>
      </c>
      <c r="E316" s="23" t="s">
        <v>45</v>
      </c>
      <c r="F316" s="19" t="n">
        <v>6</v>
      </c>
      <c r="G316" s="24" t="n">
        <v>3.98</v>
      </c>
      <c r="H316" s="23" t="s">
        <v>9</v>
      </c>
      <c r="I316" s="25" t="n">
        <v>46037</v>
      </c>
    </row>
    <row r="317" customFormat="false" ht="19.5" hidden="false" customHeight="true" outlineLevel="0" collapsed="false">
      <c r="A317" s="26" t="s">
        <v>379</v>
      </c>
      <c r="B317" s="27" t="s">
        <v>27</v>
      </c>
      <c r="C317" s="27" t="s">
        <v>96</v>
      </c>
      <c r="D317" s="28" t="n">
        <f aca="false">DATE(2026,1,1)-484</f>
        <v>45539</v>
      </c>
      <c r="E317" s="29" t="s">
        <v>48</v>
      </c>
      <c r="F317" s="15" t="n">
        <v>6.8</v>
      </c>
      <c r="G317" s="30" t="n">
        <v>3.66</v>
      </c>
      <c r="H317" s="29" t="s">
        <v>42</v>
      </c>
      <c r="I317" s="31" t="n">
        <v>103519</v>
      </c>
    </row>
    <row r="318" customFormat="false" ht="19.5" hidden="false" customHeight="true" outlineLevel="0" collapsed="false">
      <c r="A318" s="20" t="s">
        <v>380</v>
      </c>
      <c r="B318" s="21" t="s">
        <v>26</v>
      </c>
      <c r="C318" s="21" t="s">
        <v>110</v>
      </c>
      <c r="D318" s="22" t="n">
        <f aca="false">DATE(2026,1,1)-318</f>
        <v>45705</v>
      </c>
      <c r="E318" s="23" t="s">
        <v>57</v>
      </c>
      <c r="F318" s="19" t="n">
        <v>1.3</v>
      </c>
      <c r="G318" s="24" t="n">
        <v>3.73</v>
      </c>
      <c r="H318" s="23" t="s">
        <v>42</v>
      </c>
      <c r="I318" s="25" t="n">
        <v>115749</v>
      </c>
    </row>
    <row r="319" customFormat="false" ht="19.5" hidden="false" customHeight="true" outlineLevel="0" collapsed="false">
      <c r="A319" s="26" t="s">
        <v>381</v>
      </c>
      <c r="B319" s="27" t="s">
        <v>20</v>
      </c>
      <c r="C319" s="27" t="s">
        <v>38</v>
      </c>
      <c r="D319" s="28" t="n">
        <f aca="false">DATE(2026,1,1)-2057</f>
        <v>43966</v>
      </c>
      <c r="E319" s="29" t="s">
        <v>45</v>
      </c>
      <c r="F319" s="15" t="n">
        <v>2.8</v>
      </c>
      <c r="G319" s="30" t="n">
        <v>4.79</v>
      </c>
      <c r="H319" s="29" t="s">
        <v>9</v>
      </c>
      <c r="I319" s="31" t="n">
        <v>116855</v>
      </c>
    </row>
    <row r="320" customFormat="false" ht="19.5" hidden="false" customHeight="true" outlineLevel="0" collapsed="false">
      <c r="A320" s="20" t="s">
        <v>382</v>
      </c>
      <c r="B320" s="21" t="s">
        <v>20</v>
      </c>
      <c r="C320" s="21" t="s">
        <v>78</v>
      </c>
      <c r="D320" s="22" t="n">
        <f aca="false">DATE(2026,1,1)-1768</f>
        <v>44255</v>
      </c>
      <c r="E320" s="23" t="s">
        <v>48</v>
      </c>
      <c r="F320" s="19" t="n">
        <v>2.8</v>
      </c>
      <c r="G320" s="24" t="n">
        <v>2.88</v>
      </c>
      <c r="H320" s="23" t="s">
        <v>9</v>
      </c>
      <c r="I320" s="25" t="n">
        <v>118505</v>
      </c>
    </row>
    <row r="321" customFormat="false" ht="19.5" hidden="false" customHeight="true" outlineLevel="0" collapsed="false">
      <c r="A321" s="26" t="s">
        <v>383</v>
      </c>
      <c r="B321" s="27" t="s">
        <v>20</v>
      </c>
      <c r="C321" s="27" t="s">
        <v>78</v>
      </c>
      <c r="D321" s="28" t="n">
        <f aca="false">DATE(2026,1,1)-1725</f>
        <v>44298</v>
      </c>
      <c r="E321" s="29" t="s">
        <v>39</v>
      </c>
      <c r="F321" s="15" t="n">
        <v>6.8</v>
      </c>
      <c r="G321" s="30" t="n">
        <v>2.99</v>
      </c>
      <c r="H321" s="29" t="s">
        <v>9</v>
      </c>
      <c r="I321" s="31" t="n">
        <v>127046</v>
      </c>
    </row>
    <row r="322" customFormat="false" ht="19.5" hidden="false" customHeight="true" outlineLevel="0" collapsed="false">
      <c r="A322" s="20" t="s">
        <v>384</v>
      </c>
      <c r="B322" s="21" t="s">
        <v>24</v>
      </c>
      <c r="C322" s="21" t="s">
        <v>90</v>
      </c>
      <c r="D322" s="22" t="n">
        <f aca="false">DATE(2026,1,1)-610</f>
        <v>45413</v>
      </c>
      <c r="E322" s="23" t="s">
        <v>52</v>
      </c>
      <c r="F322" s="19" t="n">
        <v>5.8</v>
      </c>
      <c r="G322" s="24" t="n">
        <v>3.94</v>
      </c>
      <c r="H322" s="23" t="s">
        <v>42</v>
      </c>
      <c r="I322" s="25" t="n">
        <v>54392</v>
      </c>
    </row>
    <row r="323" customFormat="false" ht="19.5" hidden="false" customHeight="true" outlineLevel="0" collapsed="false">
      <c r="A323" s="26" t="s">
        <v>385</v>
      </c>
      <c r="B323" s="27" t="s">
        <v>18</v>
      </c>
      <c r="C323" s="27" t="s">
        <v>84</v>
      </c>
      <c r="D323" s="28" t="n">
        <f aca="false">DATE(2026,1,1)-1773</f>
        <v>44250</v>
      </c>
      <c r="E323" s="29" t="s">
        <v>39</v>
      </c>
      <c r="F323" s="15" t="n">
        <v>1.2</v>
      </c>
      <c r="G323" s="30" t="n">
        <v>4</v>
      </c>
      <c r="H323" s="29" t="s">
        <v>9</v>
      </c>
      <c r="I323" s="31" t="n">
        <v>90397</v>
      </c>
    </row>
    <row r="324" customFormat="false" ht="19.5" hidden="false" customHeight="true" outlineLevel="0" collapsed="false">
      <c r="A324" s="20" t="s">
        <v>386</v>
      </c>
      <c r="B324" s="21" t="s">
        <v>22</v>
      </c>
      <c r="C324" s="21" t="s">
        <v>50</v>
      </c>
      <c r="D324" s="22" t="n">
        <f aca="false">DATE(2026,1,1)-617</f>
        <v>45406</v>
      </c>
      <c r="E324" s="23" t="s">
        <v>45</v>
      </c>
      <c r="F324" s="19" t="n">
        <v>0.6</v>
      </c>
      <c r="G324" s="24" t="n">
        <v>4.53</v>
      </c>
      <c r="H324" s="23" t="s">
        <v>9</v>
      </c>
      <c r="I324" s="25" t="n">
        <v>54849</v>
      </c>
    </row>
    <row r="325" customFormat="false" ht="19.5" hidden="false" customHeight="true" outlineLevel="0" collapsed="false">
      <c r="A325" s="26" t="s">
        <v>387</v>
      </c>
      <c r="B325" s="27" t="s">
        <v>27</v>
      </c>
      <c r="C325" s="27" t="s">
        <v>72</v>
      </c>
      <c r="D325" s="28" t="n">
        <f aca="false">DATE(2026,1,1)-1606</f>
        <v>44417</v>
      </c>
      <c r="E325" s="29" t="s">
        <v>63</v>
      </c>
      <c r="F325" s="15" t="n">
        <v>3.3</v>
      </c>
      <c r="G325" s="30" t="n">
        <v>4.28</v>
      </c>
      <c r="H325" s="29" t="s">
        <v>9</v>
      </c>
      <c r="I325" s="31" t="n">
        <v>82593</v>
      </c>
    </row>
    <row r="326" customFormat="false" ht="19.5" hidden="false" customHeight="true" outlineLevel="0" collapsed="false">
      <c r="A326" s="20" t="s">
        <v>388</v>
      </c>
      <c r="B326" s="21" t="s">
        <v>20</v>
      </c>
      <c r="C326" s="21" t="s">
        <v>78</v>
      </c>
      <c r="D326" s="22" t="n">
        <f aca="false">DATE(2026,1,1)-885</f>
        <v>45138</v>
      </c>
      <c r="E326" s="23" t="s">
        <v>48</v>
      </c>
      <c r="F326" s="19" t="n">
        <v>5.5</v>
      </c>
      <c r="G326" s="24" t="n">
        <v>2.89</v>
      </c>
      <c r="H326" s="23" t="s">
        <v>9</v>
      </c>
      <c r="I326" s="25" t="n">
        <v>83950</v>
      </c>
    </row>
    <row r="327" customFormat="false" ht="19.5" hidden="false" customHeight="true" outlineLevel="0" collapsed="false">
      <c r="A327" s="26" t="s">
        <v>389</v>
      </c>
      <c r="B327" s="27" t="s">
        <v>18</v>
      </c>
      <c r="C327" s="27" t="s">
        <v>66</v>
      </c>
      <c r="D327" s="28" t="n">
        <f aca="false">DATE(2026,1,1)-636</f>
        <v>45387</v>
      </c>
      <c r="E327" s="29" t="s">
        <v>45</v>
      </c>
      <c r="F327" s="15" t="n">
        <v>5.6</v>
      </c>
      <c r="G327" s="30" t="n">
        <v>4.61</v>
      </c>
      <c r="H327" s="29" t="s">
        <v>9</v>
      </c>
      <c r="I327" s="31" t="n">
        <v>98770</v>
      </c>
    </row>
    <row r="328" customFormat="false" ht="19.5" hidden="false" customHeight="true" outlineLevel="0" collapsed="false">
      <c r="A328" s="20" t="s">
        <v>390</v>
      </c>
      <c r="B328" s="21" t="s">
        <v>16</v>
      </c>
      <c r="C328" s="21" t="s">
        <v>100</v>
      </c>
      <c r="D328" s="22" t="n">
        <f aca="false">DATE(2026,1,1)-384</f>
        <v>45639</v>
      </c>
      <c r="E328" s="23" t="s">
        <v>60</v>
      </c>
      <c r="F328" s="19" t="n">
        <v>3.5</v>
      </c>
      <c r="G328" s="24" t="n">
        <v>4.27</v>
      </c>
      <c r="H328" s="23" t="s">
        <v>9</v>
      </c>
      <c r="I328" s="25" t="n">
        <v>132204</v>
      </c>
    </row>
    <row r="329" customFormat="false" ht="19.5" hidden="false" customHeight="true" outlineLevel="0" collapsed="false">
      <c r="A329" s="26" t="s">
        <v>391</v>
      </c>
      <c r="B329" s="27" t="s">
        <v>18</v>
      </c>
      <c r="C329" s="27" t="s">
        <v>84</v>
      </c>
      <c r="D329" s="28" t="n">
        <f aca="false">DATE(2026,1,1)-452</f>
        <v>45571</v>
      </c>
      <c r="E329" s="29" t="s">
        <v>63</v>
      </c>
      <c r="F329" s="15" t="n">
        <v>1</v>
      </c>
      <c r="G329" s="30" t="n">
        <v>3.91</v>
      </c>
      <c r="H329" s="29" t="s">
        <v>42</v>
      </c>
      <c r="I329" s="31" t="n">
        <v>92092</v>
      </c>
    </row>
    <row r="330" customFormat="false" ht="19.5" hidden="false" customHeight="true" outlineLevel="0" collapsed="false">
      <c r="A330" s="20" t="s">
        <v>392</v>
      </c>
      <c r="B330" s="21" t="s">
        <v>18</v>
      </c>
      <c r="C330" s="21" t="s">
        <v>44</v>
      </c>
      <c r="D330" s="22" t="n">
        <f aca="false">DATE(2026,1,1)-877</f>
        <v>45146</v>
      </c>
      <c r="E330" s="23" t="s">
        <v>57</v>
      </c>
      <c r="F330" s="19" t="n">
        <v>4.3</v>
      </c>
      <c r="G330" s="24" t="n">
        <v>3.54</v>
      </c>
      <c r="H330" s="23" t="s">
        <v>9</v>
      </c>
      <c r="I330" s="25" t="n">
        <v>139150</v>
      </c>
    </row>
    <row r="331" customFormat="false" ht="19.5" hidden="false" customHeight="true" outlineLevel="0" collapsed="false">
      <c r="A331" s="26" t="s">
        <v>393</v>
      </c>
      <c r="B331" s="27" t="s">
        <v>27</v>
      </c>
      <c r="C331" s="27" t="s">
        <v>54</v>
      </c>
      <c r="D331" s="28" t="n">
        <f aca="false">DATE(2026,1,1)-769</f>
        <v>45254</v>
      </c>
      <c r="E331" s="29" t="s">
        <v>45</v>
      </c>
      <c r="F331" s="15" t="n">
        <v>7.9</v>
      </c>
      <c r="G331" s="30" t="n">
        <v>3.14</v>
      </c>
      <c r="H331" s="29" t="s">
        <v>42</v>
      </c>
      <c r="I331" s="31" t="n">
        <v>144184</v>
      </c>
    </row>
    <row r="332" customFormat="false" ht="19.5" hidden="false" customHeight="true" outlineLevel="0" collapsed="false">
      <c r="A332" s="20" t="s">
        <v>394</v>
      </c>
      <c r="B332" s="21" t="s">
        <v>18</v>
      </c>
      <c r="C332" s="21" t="s">
        <v>84</v>
      </c>
      <c r="D332" s="22" t="n">
        <f aca="false">DATE(2026,1,1)-1842</f>
        <v>44181</v>
      </c>
      <c r="E332" s="23" t="s">
        <v>39</v>
      </c>
      <c r="F332" s="19" t="n">
        <v>8</v>
      </c>
      <c r="G332" s="24" t="n">
        <v>4.19</v>
      </c>
      <c r="H332" s="23" t="s">
        <v>9</v>
      </c>
      <c r="I332" s="25" t="n">
        <v>140232</v>
      </c>
    </row>
    <row r="333" customFormat="false" ht="19.5" hidden="false" customHeight="true" outlineLevel="0" collapsed="false">
      <c r="A333" s="26" t="s">
        <v>395</v>
      </c>
      <c r="B333" s="27" t="s">
        <v>26</v>
      </c>
      <c r="C333" s="27" t="s">
        <v>81</v>
      </c>
      <c r="D333" s="28" t="n">
        <f aca="false">DATE(2026,1,1)-895</f>
        <v>45128</v>
      </c>
      <c r="E333" s="29" t="s">
        <v>48</v>
      </c>
      <c r="F333" s="15" t="n">
        <v>6.5</v>
      </c>
      <c r="G333" s="30" t="n">
        <v>2.88</v>
      </c>
      <c r="H333" s="29" t="s">
        <v>9</v>
      </c>
      <c r="I333" s="31" t="n">
        <v>85802</v>
      </c>
    </row>
    <row r="334" customFormat="false" ht="19.5" hidden="false" customHeight="true" outlineLevel="0" collapsed="false">
      <c r="A334" s="20" t="s">
        <v>396</v>
      </c>
      <c r="B334" s="21" t="s">
        <v>18</v>
      </c>
      <c r="C334" s="21" t="s">
        <v>44</v>
      </c>
      <c r="D334" s="22" t="n">
        <f aca="false">DATE(2026,1,1)-266</f>
        <v>45757</v>
      </c>
      <c r="E334" s="23" t="s">
        <v>52</v>
      </c>
      <c r="F334" s="19" t="n">
        <v>1.4</v>
      </c>
      <c r="G334" s="24" t="n">
        <v>3.77</v>
      </c>
      <c r="H334" s="23" t="s">
        <v>9</v>
      </c>
      <c r="I334" s="25" t="n">
        <v>102116</v>
      </c>
    </row>
    <row r="335" customFormat="false" ht="19.5" hidden="false" customHeight="true" outlineLevel="0" collapsed="false">
      <c r="A335" s="26" t="s">
        <v>397</v>
      </c>
      <c r="B335" s="27" t="s">
        <v>18</v>
      </c>
      <c r="C335" s="27" t="s">
        <v>66</v>
      </c>
      <c r="D335" s="28" t="n">
        <f aca="false">DATE(2026,1,1)-450</f>
        <v>45573</v>
      </c>
      <c r="E335" s="29" t="s">
        <v>45</v>
      </c>
      <c r="F335" s="15" t="n">
        <v>1.9</v>
      </c>
      <c r="G335" s="30" t="n">
        <v>4.02</v>
      </c>
      <c r="H335" s="29" t="s">
        <v>9</v>
      </c>
      <c r="I335" s="31" t="n">
        <v>102547</v>
      </c>
    </row>
    <row r="336" customFormat="false" ht="19.5" hidden="false" customHeight="true" outlineLevel="0" collapsed="false">
      <c r="A336" s="20" t="s">
        <v>398</v>
      </c>
      <c r="B336" s="21" t="s">
        <v>16</v>
      </c>
      <c r="C336" s="21" t="s">
        <v>204</v>
      </c>
      <c r="D336" s="22" t="n">
        <f aca="false">DATE(2026,1,1)-325</f>
        <v>45698</v>
      </c>
      <c r="E336" s="23" t="s">
        <v>60</v>
      </c>
      <c r="F336" s="19" t="n">
        <v>6.5</v>
      </c>
      <c r="G336" s="24" t="n">
        <v>4</v>
      </c>
      <c r="H336" s="23" t="s">
        <v>9</v>
      </c>
      <c r="I336" s="25" t="n">
        <v>131099</v>
      </c>
    </row>
    <row r="337" customFormat="false" ht="19.5" hidden="false" customHeight="true" outlineLevel="0" collapsed="false">
      <c r="A337" s="26" t="s">
        <v>399</v>
      </c>
      <c r="B337" s="27" t="s">
        <v>16</v>
      </c>
      <c r="C337" s="27" t="s">
        <v>100</v>
      </c>
      <c r="D337" s="28" t="n">
        <f aca="false">DATE(2026,1,1)-1711</f>
        <v>44312</v>
      </c>
      <c r="E337" s="29" t="s">
        <v>52</v>
      </c>
      <c r="F337" s="15" t="n">
        <v>2.5</v>
      </c>
      <c r="G337" s="30" t="n">
        <v>2.84</v>
      </c>
      <c r="H337" s="29" t="s">
        <v>9</v>
      </c>
      <c r="I337" s="31" t="n">
        <v>92805</v>
      </c>
    </row>
    <row r="338" customFormat="false" ht="19.5" hidden="false" customHeight="true" outlineLevel="0" collapsed="false">
      <c r="A338" s="20" t="s">
        <v>400</v>
      </c>
      <c r="B338" s="21" t="s">
        <v>26</v>
      </c>
      <c r="C338" s="21" t="s">
        <v>81</v>
      </c>
      <c r="D338" s="22" t="n">
        <f aca="false">DATE(2026,1,1)-614</f>
        <v>45409</v>
      </c>
      <c r="E338" s="23" t="s">
        <v>57</v>
      </c>
      <c r="F338" s="19" t="n">
        <v>7.7</v>
      </c>
      <c r="G338" s="24" t="n">
        <v>4.71</v>
      </c>
      <c r="H338" s="23" t="s">
        <v>9</v>
      </c>
      <c r="I338" s="25" t="n">
        <v>75958</v>
      </c>
    </row>
    <row r="339" customFormat="false" ht="19.5" hidden="false" customHeight="true" outlineLevel="0" collapsed="false">
      <c r="A339" s="26" t="s">
        <v>401</v>
      </c>
      <c r="B339" s="27" t="s">
        <v>20</v>
      </c>
      <c r="C339" s="27" t="s">
        <v>78</v>
      </c>
      <c r="D339" s="28" t="n">
        <f aca="false">DATE(2026,1,1)-884</f>
        <v>45139</v>
      </c>
      <c r="E339" s="29" t="s">
        <v>45</v>
      </c>
      <c r="F339" s="15" t="n">
        <v>5.6</v>
      </c>
      <c r="G339" s="30" t="n">
        <v>3.75</v>
      </c>
      <c r="H339" s="29" t="s">
        <v>9</v>
      </c>
      <c r="I339" s="31" t="n">
        <v>107241</v>
      </c>
    </row>
    <row r="340" customFormat="false" ht="19.5" hidden="false" customHeight="true" outlineLevel="0" collapsed="false">
      <c r="A340" s="20" t="s">
        <v>402</v>
      </c>
      <c r="B340" s="21" t="s">
        <v>26</v>
      </c>
      <c r="C340" s="21" t="s">
        <v>81</v>
      </c>
      <c r="D340" s="22" t="n">
        <f aca="false">DATE(2026,1,1)-290</f>
        <v>45733</v>
      </c>
      <c r="E340" s="23" t="s">
        <v>63</v>
      </c>
      <c r="F340" s="19" t="n">
        <v>0.8</v>
      </c>
      <c r="G340" s="24" t="n">
        <v>3.43</v>
      </c>
      <c r="H340" s="23" t="s">
        <v>9</v>
      </c>
      <c r="I340" s="25" t="n">
        <v>126305</v>
      </c>
    </row>
    <row r="341" customFormat="false" ht="19.5" hidden="false" customHeight="true" outlineLevel="0" collapsed="false">
      <c r="A341" s="26" t="s">
        <v>403</v>
      </c>
      <c r="B341" s="27" t="s">
        <v>20</v>
      </c>
      <c r="C341" s="27" t="s">
        <v>78</v>
      </c>
      <c r="D341" s="28" t="n">
        <f aca="false">DATE(2026,1,1)-967</f>
        <v>45056</v>
      </c>
      <c r="E341" s="29" t="s">
        <v>57</v>
      </c>
      <c r="F341" s="15" t="n">
        <v>2.4</v>
      </c>
      <c r="G341" s="30" t="n">
        <v>3.63</v>
      </c>
      <c r="H341" s="29" t="s">
        <v>9</v>
      </c>
      <c r="I341" s="31" t="n">
        <v>128249</v>
      </c>
    </row>
    <row r="342" customFormat="false" ht="19.5" hidden="false" customHeight="true" outlineLevel="0" collapsed="false">
      <c r="A342" s="20" t="s">
        <v>404</v>
      </c>
      <c r="B342" s="21" t="s">
        <v>20</v>
      </c>
      <c r="C342" s="21" t="s">
        <v>78</v>
      </c>
      <c r="D342" s="22" t="n">
        <f aca="false">DATE(2026,1,1)-930</f>
        <v>45093</v>
      </c>
      <c r="E342" s="23" t="s">
        <v>60</v>
      </c>
      <c r="F342" s="19" t="n">
        <v>1.4</v>
      </c>
      <c r="G342" s="24" t="n">
        <v>4.88</v>
      </c>
      <c r="H342" s="23" t="s">
        <v>9</v>
      </c>
      <c r="I342" s="25" t="n">
        <v>105693</v>
      </c>
    </row>
    <row r="343" customFormat="false" ht="19.5" hidden="false" customHeight="true" outlineLevel="0" collapsed="false">
      <c r="A343" s="26" t="s">
        <v>405</v>
      </c>
      <c r="B343" s="27" t="s">
        <v>26</v>
      </c>
      <c r="C343" s="27" t="s">
        <v>81</v>
      </c>
      <c r="D343" s="28" t="n">
        <f aca="false">DATE(2026,1,1)-1860</f>
        <v>44163</v>
      </c>
      <c r="E343" s="29" t="s">
        <v>45</v>
      </c>
      <c r="F343" s="15" t="n">
        <v>5.5</v>
      </c>
      <c r="G343" s="30" t="n">
        <v>4.67</v>
      </c>
      <c r="H343" s="29" t="s">
        <v>9</v>
      </c>
      <c r="I343" s="31" t="n">
        <v>142947</v>
      </c>
    </row>
    <row r="344" customFormat="false" ht="19.5" hidden="false" customHeight="true" outlineLevel="0" collapsed="false">
      <c r="A344" s="20" t="s">
        <v>406</v>
      </c>
      <c r="B344" s="21" t="s">
        <v>27</v>
      </c>
      <c r="C344" s="21" t="s">
        <v>72</v>
      </c>
      <c r="D344" s="22" t="n">
        <f aca="false">DATE(2026,1,1)-714</f>
        <v>45309</v>
      </c>
      <c r="E344" s="23" t="s">
        <v>60</v>
      </c>
      <c r="F344" s="19" t="n">
        <v>5.5</v>
      </c>
      <c r="G344" s="24" t="n">
        <v>4.46</v>
      </c>
      <c r="H344" s="23" t="s">
        <v>42</v>
      </c>
      <c r="I344" s="25" t="n">
        <v>53571</v>
      </c>
    </row>
    <row r="345" customFormat="false" ht="19.5" hidden="false" customHeight="true" outlineLevel="0" collapsed="false">
      <c r="A345" s="26" t="s">
        <v>407</v>
      </c>
      <c r="B345" s="27" t="s">
        <v>20</v>
      </c>
      <c r="C345" s="27" t="s">
        <v>78</v>
      </c>
      <c r="D345" s="28" t="n">
        <f aca="false">DATE(2026,1,1)-1210</f>
        <v>44813</v>
      </c>
      <c r="E345" s="29" t="s">
        <v>52</v>
      </c>
      <c r="F345" s="15" t="n">
        <v>0.6</v>
      </c>
      <c r="G345" s="30" t="n">
        <v>4.13</v>
      </c>
      <c r="H345" s="29" t="s">
        <v>9</v>
      </c>
      <c r="I345" s="31" t="n">
        <v>122513</v>
      </c>
    </row>
    <row r="346" customFormat="false" ht="19.5" hidden="false" customHeight="true" outlineLevel="0" collapsed="false">
      <c r="A346" s="20" t="s">
        <v>408</v>
      </c>
      <c r="B346" s="21" t="s">
        <v>27</v>
      </c>
      <c r="C346" s="21" t="s">
        <v>54</v>
      </c>
      <c r="D346" s="22" t="n">
        <f aca="false">DATE(2026,1,1)-670</f>
        <v>45353</v>
      </c>
      <c r="E346" s="23" t="s">
        <v>45</v>
      </c>
      <c r="F346" s="19" t="n">
        <v>3.9</v>
      </c>
      <c r="G346" s="24" t="n">
        <v>3.73</v>
      </c>
      <c r="H346" s="23" t="s">
        <v>9</v>
      </c>
      <c r="I346" s="25" t="n">
        <v>50549</v>
      </c>
    </row>
    <row r="347" customFormat="false" ht="19.5" hidden="false" customHeight="true" outlineLevel="0" collapsed="false">
      <c r="A347" s="26" t="s">
        <v>409</v>
      </c>
      <c r="B347" s="27" t="s">
        <v>24</v>
      </c>
      <c r="C347" s="27" t="s">
        <v>47</v>
      </c>
      <c r="D347" s="28" t="n">
        <f aca="false">DATE(2026,1,1)-805</f>
        <v>45218</v>
      </c>
      <c r="E347" s="29" t="s">
        <v>45</v>
      </c>
      <c r="F347" s="15" t="n">
        <v>6.2</v>
      </c>
      <c r="G347" s="30" t="n">
        <v>2.91</v>
      </c>
      <c r="H347" s="29" t="s">
        <v>9</v>
      </c>
      <c r="I347" s="31" t="n">
        <v>131154</v>
      </c>
    </row>
    <row r="348" customFormat="false" ht="19.5" hidden="false" customHeight="true" outlineLevel="0" collapsed="false">
      <c r="A348" s="20" t="s">
        <v>410</v>
      </c>
      <c r="B348" s="21" t="s">
        <v>26</v>
      </c>
      <c r="C348" s="21" t="s">
        <v>81</v>
      </c>
      <c r="D348" s="22" t="n">
        <f aca="false">DATE(2026,1,1)-1768</f>
        <v>44255</v>
      </c>
      <c r="E348" s="23" t="s">
        <v>45</v>
      </c>
      <c r="F348" s="19" t="n">
        <v>4.3</v>
      </c>
      <c r="G348" s="24" t="n">
        <v>4.24</v>
      </c>
      <c r="H348" s="23" t="s">
        <v>9</v>
      </c>
      <c r="I348" s="25" t="n">
        <v>54058</v>
      </c>
    </row>
    <row r="349" customFormat="false" ht="19.5" hidden="false" customHeight="true" outlineLevel="0" collapsed="false">
      <c r="A349" s="26" t="s">
        <v>411</v>
      </c>
      <c r="B349" s="27" t="s">
        <v>22</v>
      </c>
      <c r="C349" s="27" t="s">
        <v>50</v>
      </c>
      <c r="D349" s="28" t="n">
        <f aca="false">DATE(2026,1,1)-2050</f>
        <v>43973</v>
      </c>
      <c r="E349" s="29" t="s">
        <v>39</v>
      </c>
      <c r="F349" s="15" t="n">
        <v>1.9</v>
      </c>
      <c r="G349" s="30" t="n">
        <v>4.41</v>
      </c>
      <c r="H349" s="29" t="s">
        <v>9</v>
      </c>
      <c r="I349" s="31" t="n">
        <v>96143</v>
      </c>
    </row>
    <row r="350" customFormat="false" ht="19.5" hidden="false" customHeight="true" outlineLevel="0" collapsed="false">
      <c r="A350" s="20" t="s">
        <v>412</v>
      </c>
      <c r="B350" s="21" t="s">
        <v>22</v>
      </c>
      <c r="C350" s="21" t="s">
        <v>50</v>
      </c>
      <c r="D350" s="22" t="n">
        <f aca="false">DATE(2026,1,1)-232</f>
        <v>45791</v>
      </c>
      <c r="E350" s="23" t="s">
        <v>63</v>
      </c>
      <c r="F350" s="19" t="n">
        <v>6.7</v>
      </c>
      <c r="G350" s="24" t="n">
        <v>4.39</v>
      </c>
      <c r="H350" s="23" t="s">
        <v>9</v>
      </c>
      <c r="I350" s="25" t="n">
        <v>76837</v>
      </c>
    </row>
    <row r="351" customFormat="false" ht="19.5" hidden="false" customHeight="true" outlineLevel="0" collapsed="false">
      <c r="A351" s="26" t="s">
        <v>413</v>
      </c>
      <c r="B351" s="27" t="s">
        <v>26</v>
      </c>
      <c r="C351" s="27" t="s">
        <v>41</v>
      </c>
      <c r="D351" s="28" t="n">
        <f aca="false">DATE(2026,1,1)-788</f>
        <v>45235</v>
      </c>
      <c r="E351" s="29" t="s">
        <v>52</v>
      </c>
      <c r="F351" s="15" t="n">
        <v>3.8</v>
      </c>
      <c r="G351" s="30" t="n">
        <v>3.93</v>
      </c>
      <c r="H351" s="29" t="s">
        <v>9</v>
      </c>
      <c r="I351" s="31" t="n">
        <v>52530</v>
      </c>
    </row>
    <row r="352" customFormat="false" ht="19.5" hidden="false" customHeight="true" outlineLevel="0" collapsed="false">
      <c r="A352" s="20" t="s">
        <v>414</v>
      </c>
      <c r="B352" s="21" t="s">
        <v>24</v>
      </c>
      <c r="C352" s="21" t="s">
        <v>59</v>
      </c>
      <c r="D352" s="22" t="n">
        <f aca="false">DATE(2026,1,1)-1159</f>
        <v>44864</v>
      </c>
      <c r="E352" s="23" t="s">
        <v>45</v>
      </c>
      <c r="F352" s="19" t="n">
        <v>4.6</v>
      </c>
      <c r="G352" s="24" t="n">
        <v>4.86</v>
      </c>
      <c r="H352" s="23" t="s">
        <v>9</v>
      </c>
      <c r="I352" s="25" t="n">
        <v>67507</v>
      </c>
    </row>
    <row r="353" customFormat="false" ht="19.5" hidden="false" customHeight="true" outlineLevel="0" collapsed="false">
      <c r="A353" s="26" t="s">
        <v>415</v>
      </c>
      <c r="B353" s="27" t="s">
        <v>26</v>
      </c>
      <c r="C353" s="27" t="s">
        <v>41</v>
      </c>
      <c r="D353" s="28" t="n">
        <f aca="false">DATE(2026,1,1)-2124</f>
        <v>43899</v>
      </c>
      <c r="E353" s="29" t="s">
        <v>48</v>
      </c>
      <c r="F353" s="15" t="n">
        <v>7.2</v>
      </c>
      <c r="G353" s="30" t="n">
        <v>4.75</v>
      </c>
      <c r="H353" s="29" t="s">
        <v>9</v>
      </c>
      <c r="I353" s="31" t="n">
        <v>59114</v>
      </c>
    </row>
    <row r="354" customFormat="false" ht="19.5" hidden="false" customHeight="true" outlineLevel="0" collapsed="false">
      <c r="A354" s="20" t="s">
        <v>416</v>
      </c>
      <c r="B354" s="21" t="s">
        <v>27</v>
      </c>
      <c r="C354" s="21" t="s">
        <v>72</v>
      </c>
      <c r="D354" s="22" t="n">
        <f aca="false">DATE(2026,1,1)-1426</f>
        <v>44597</v>
      </c>
      <c r="E354" s="23" t="s">
        <v>57</v>
      </c>
      <c r="F354" s="19" t="n">
        <v>4.5</v>
      </c>
      <c r="G354" s="24" t="n">
        <v>3.88</v>
      </c>
      <c r="H354" s="23" t="s">
        <v>9</v>
      </c>
      <c r="I354" s="25" t="n">
        <v>57143</v>
      </c>
    </row>
    <row r="355" customFormat="false" ht="19.5" hidden="false" customHeight="true" outlineLevel="0" collapsed="false">
      <c r="A355" s="26" t="s">
        <v>417</v>
      </c>
      <c r="B355" s="27" t="s">
        <v>24</v>
      </c>
      <c r="C355" s="27" t="s">
        <v>90</v>
      </c>
      <c r="D355" s="28" t="n">
        <f aca="false">DATE(2026,1,1)-1345</f>
        <v>44678</v>
      </c>
      <c r="E355" s="29" t="s">
        <v>39</v>
      </c>
      <c r="F355" s="15" t="n">
        <v>5.6</v>
      </c>
      <c r="G355" s="30" t="n">
        <v>4.32</v>
      </c>
      <c r="H355" s="29" t="s">
        <v>9</v>
      </c>
      <c r="I355" s="31" t="n">
        <v>128065</v>
      </c>
    </row>
    <row r="356" customFormat="false" ht="19.5" hidden="false" customHeight="true" outlineLevel="0" collapsed="false">
      <c r="A356" s="20" t="s">
        <v>418</v>
      </c>
      <c r="B356" s="21" t="s">
        <v>27</v>
      </c>
      <c r="C356" s="21" t="s">
        <v>72</v>
      </c>
      <c r="D356" s="22" t="n">
        <f aca="false">DATE(2026,1,1)-1894</f>
        <v>44129</v>
      </c>
      <c r="E356" s="23" t="s">
        <v>60</v>
      </c>
      <c r="F356" s="19" t="n">
        <v>6.8</v>
      </c>
      <c r="G356" s="24" t="n">
        <v>4.33</v>
      </c>
      <c r="H356" s="23" t="s">
        <v>9</v>
      </c>
      <c r="I356" s="25" t="n">
        <v>82134</v>
      </c>
    </row>
    <row r="357" customFormat="false" ht="19.5" hidden="false" customHeight="true" outlineLevel="0" collapsed="false">
      <c r="A357" s="26" t="s">
        <v>419</v>
      </c>
      <c r="B357" s="27" t="s">
        <v>16</v>
      </c>
      <c r="C357" s="27" t="s">
        <v>158</v>
      </c>
      <c r="D357" s="28" t="n">
        <f aca="false">DATE(2026,1,1)-136</f>
        <v>45887</v>
      </c>
      <c r="E357" s="29" t="s">
        <v>63</v>
      </c>
      <c r="F357" s="15" t="n">
        <v>7.5</v>
      </c>
      <c r="G357" s="30" t="n">
        <v>3.26</v>
      </c>
      <c r="H357" s="29" t="s">
        <v>42</v>
      </c>
      <c r="I357" s="31" t="n">
        <v>119656</v>
      </c>
    </row>
    <row r="358" customFormat="false" ht="19.5" hidden="false" customHeight="true" outlineLevel="0" collapsed="false">
      <c r="A358" s="20" t="s">
        <v>420</v>
      </c>
      <c r="B358" s="21" t="s">
        <v>20</v>
      </c>
      <c r="C358" s="21" t="s">
        <v>47</v>
      </c>
      <c r="D358" s="22" t="n">
        <f aca="false">DATE(2026,1,1)-231</f>
        <v>45792</v>
      </c>
      <c r="E358" s="23" t="s">
        <v>57</v>
      </c>
      <c r="F358" s="19" t="n">
        <v>6.9</v>
      </c>
      <c r="G358" s="24" t="n">
        <v>4.32</v>
      </c>
      <c r="H358" s="23" t="s">
        <v>9</v>
      </c>
      <c r="I358" s="25" t="n">
        <v>53188</v>
      </c>
    </row>
    <row r="359" customFormat="false" ht="19.5" hidden="false" customHeight="true" outlineLevel="0" collapsed="false">
      <c r="A359" s="26" t="s">
        <v>421</v>
      </c>
      <c r="B359" s="27" t="s">
        <v>24</v>
      </c>
      <c r="C359" s="27" t="s">
        <v>90</v>
      </c>
      <c r="D359" s="28" t="n">
        <f aca="false">DATE(2026,1,1)-1845</f>
        <v>44178</v>
      </c>
      <c r="E359" s="29" t="s">
        <v>52</v>
      </c>
      <c r="F359" s="15" t="n">
        <v>7.6</v>
      </c>
      <c r="G359" s="30" t="n">
        <v>4.16</v>
      </c>
      <c r="H359" s="29" t="s">
        <v>9</v>
      </c>
      <c r="I359" s="31" t="n">
        <v>140740</v>
      </c>
    </row>
    <row r="360" customFormat="false" ht="19.5" hidden="false" customHeight="true" outlineLevel="0" collapsed="false">
      <c r="A360" s="20" t="s">
        <v>422</v>
      </c>
      <c r="B360" s="21" t="s">
        <v>26</v>
      </c>
      <c r="C360" s="21" t="s">
        <v>41</v>
      </c>
      <c r="D360" s="22" t="n">
        <f aca="false">DATE(2026,1,1)-1779</f>
        <v>44244</v>
      </c>
      <c r="E360" s="23" t="s">
        <v>45</v>
      </c>
      <c r="F360" s="19" t="n">
        <v>0.6</v>
      </c>
      <c r="G360" s="24" t="n">
        <v>4.72</v>
      </c>
      <c r="H360" s="23" t="s">
        <v>9</v>
      </c>
      <c r="I360" s="25" t="n">
        <v>140234</v>
      </c>
    </row>
    <row r="361" customFormat="false" ht="19.5" hidden="false" customHeight="true" outlineLevel="0" collapsed="false">
      <c r="A361" s="26" t="s">
        <v>423</v>
      </c>
      <c r="B361" s="27" t="s">
        <v>18</v>
      </c>
      <c r="C361" s="27" t="s">
        <v>66</v>
      </c>
      <c r="D361" s="28" t="n">
        <f aca="false">DATE(2026,1,1)-386</f>
        <v>45637</v>
      </c>
      <c r="E361" s="29" t="s">
        <v>45</v>
      </c>
      <c r="F361" s="15" t="n">
        <v>7.3</v>
      </c>
      <c r="G361" s="30" t="n">
        <v>4.87</v>
      </c>
      <c r="H361" s="29" t="s">
        <v>9</v>
      </c>
      <c r="I361" s="31" t="n">
        <v>60572</v>
      </c>
    </row>
    <row r="362" customFormat="false" ht="19.5" hidden="false" customHeight="true" outlineLevel="0" collapsed="false">
      <c r="A362" s="20" t="s">
        <v>424</v>
      </c>
      <c r="B362" s="21" t="s">
        <v>16</v>
      </c>
      <c r="C362" s="21" t="s">
        <v>100</v>
      </c>
      <c r="D362" s="22" t="n">
        <f aca="false">DATE(2026,1,1)-1150</f>
        <v>44873</v>
      </c>
      <c r="E362" s="23" t="s">
        <v>52</v>
      </c>
      <c r="F362" s="19" t="n">
        <v>7.4</v>
      </c>
      <c r="G362" s="24" t="n">
        <v>4.49</v>
      </c>
      <c r="H362" s="23" t="s">
        <v>9</v>
      </c>
      <c r="I362" s="25" t="n">
        <v>100684</v>
      </c>
    </row>
    <row r="363" customFormat="false" ht="19.5" hidden="false" customHeight="true" outlineLevel="0" collapsed="false">
      <c r="A363" s="26" t="s">
        <v>425</v>
      </c>
      <c r="B363" s="27" t="s">
        <v>18</v>
      </c>
      <c r="C363" s="27" t="s">
        <v>44</v>
      </c>
      <c r="D363" s="28" t="n">
        <f aca="false">DATE(2026,1,1)-2186</f>
        <v>43837</v>
      </c>
      <c r="E363" s="29" t="s">
        <v>45</v>
      </c>
      <c r="F363" s="15" t="n">
        <v>1.9</v>
      </c>
      <c r="G363" s="30" t="n">
        <v>3.22</v>
      </c>
      <c r="H363" s="29" t="s">
        <v>42</v>
      </c>
      <c r="I363" s="31" t="n">
        <v>111918</v>
      </c>
    </row>
    <row r="364" customFormat="false" ht="19.5" hidden="false" customHeight="true" outlineLevel="0" collapsed="false">
      <c r="A364" s="20" t="s">
        <v>426</v>
      </c>
      <c r="B364" s="21" t="s">
        <v>24</v>
      </c>
      <c r="C364" s="21" t="s">
        <v>47</v>
      </c>
      <c r="D364" s="22" t="n">
        <f aca="false">DATE(2026,1,1)-1860</f>
        <v>44163</v>
      </c>
      <c r="E364" s="23" t="s">
        <v>48</v>
      </c>
      <c r="F364" s="19" t="n">
        <v>7.3</v>
      </c>
      <c r="G364" s="24" t="n">
        <v>3.49</v>
      </c>
      <c r="H364" s="23" t="s">
        <v>9</v>
      </c>
      <c r="I364" s="25" t="n">
        <v>45396</v>
      </c>
    </row>
    <row r="365" customFormat="false" ht="19.5" hidden="false" customHeight="true" outlineLevel="0" collapsed="false">
      <c r="A365" s="26" t="s">
        <v>427</v>
      </c>
      <c r="B365" s="27" t="s">
        <v>26</v>
      </c>
      <c r="C365" s="27" t="s">
        <v>41</v>
      </c>
      <c r="D365" s="28" t="n">
        <f aca="false">DATE(2026,1,1)-869</f>
        <v>45154</v>
      </c>
      <c r="E365" s="29" t="s">
        <v>48</v>
      </c>
      <c r="F365" s="15" t="n">
        <v>3.5</v>
      </c>
      <c r="G365" s="30" t="n">
        <v>2.89</v>
      </c>
      <c r="H365" s="29" t="s">
        <v>9</v>
      </c>
      <c r="I365" s="31" t="n">
        <v>52874</v>
      </c>
    </row>
    <row r="366" customFormat="false" ht="19.5" hidden="false" customHeight="true" outlineLevel="0" collapsed="false">
      <c r="A366" s="20" t="s">
        <v>428</v>
      </c>
      <c r="B366" s="21" t="s">
        <v>16</v>
      </c>
      <c r="C366" s="21" t="s">
        <v>100</v>
      </c>
      <c r="D366" s="22" t="n">
        <f aca="false">DATE(2026,1,1)-2087</f>
        <v>43936</v>
      </c>
      <c r="E366" s="23" t="s">
        <v>63</v>
      </c>
      <c r="F366" s="19" t="n">
        <v>5.8</v>
      </c>
      <c r="G366" s="24" t="n">
        <v>4.24</v>
      </c>
      <c r="H366" s="23" t="s">
        <v>9</v>
      </c>
      <c r="I366" s="25" t="n">
        <v>84413</v>
      </c>
    </row>
    <row r="367" customFormat="false" ht="19.5" hidden="false" customHeight="true" outlineLevel="0" collapsed="false">
      <c r="A367" s="26" t="s">
        <v>429</v>
      </c>
      <c r="B367" s="27" t="s">
        <v>16</v>
      </c>
      <c r="C367" s="27" t="s">
        <v>100</v>
      </c>
      <c r="D367" s="28" t="n">
        <f aca="false">DATE(2026,1,1)-560</f>
        <v>45463</v>
      </c>
      <c r="E367" s="29" t="s">
        <v>45</v>
      </c>
      <c r="F367" s="15" t="n">
        <v>2.4</v>
      </c>
      <c r="G367" s="30" t="n">
        <v>4.64</v>
      </c>
      <c r="H367" s="29" t="s">
        <v>9</v>
      </c>
      <c r="I367" s="31" t="n">
        <v>65694</v>
      </c>
    </row>
    <row r="368" customFormat="false" ht="19.5" hidden="false" customHeight="true" outlineLevel="0" collapsed="false">
      <c r="A368" s="20" t="s">
        <v>430</v>
      </c>
      <c r="B368" s="21" t="s">
        <v>20</v>
      </c>
      <c r="C368" s="21" t="s">
        <v>47</v>
      </c>
      <c r="D368" s="22" t="n">
        <f aca="false">DATE(2026,1,1)-1451</f>
        <v>44572</v>
      </c>
      <c r="E368" s="23" t="s">
        <v>48</v>
      </c>
      <c r="F368" s="19" t="n">
        <v>3.3</v>
      </c>
      <c r="G368" s="24" t="n">
        <v>3.42</v>
      </c>
      <c r="H368" s="23" t="s">
        <v>9</v>
      </c>
      <c r="I368" s="25" t="n">
        <v>92368</v>
      </c>
    </row>
    <row r="369" customFormat="false" ht="19.5" hidden="false" customHeight="true" outlineLevel="0" collapsed="false">
      <c r="A369" s="26" t="s">
        <v>431</v>
      </c>
      <c r="B369" s="27" t="s">
        <v>18</v>
      </c>
      <c r="C369" s="27" t="s">
        <v>44</v>
      </c>
      <c r="D369" s="28" t="n">
        <f aca="false">DATE(2026,1,1)-2200</f>
        <v>43823</v>
      </c>
      <c r="E369" s="29" t="s">
        <v>60</v>
      </c>
      <c r="F369" s="15" t="n">
        <v>7.2</v>
      </c>
      <c r="G369" s="30" t="n">
        <v>2.84</v>
      </c>
      <c r="H369" s="29" t="s">
        <v>9</v>
      </c>
      <c r="I369" s="31" t="n">
        <v>110046</v>
      </c>
    </row>
    <row r="370" customFormat="false" ht="19.5" hidden="false" customHeight="true" outlineLevel="0" collapsed="false">
      <c r="A370" s="20" t="s">
        <v>432</v>
      </c>
      <c r="B370" s="21" t="s">
        <v>27</v>
      </c>
      <c r="C370" s="21" t="s">
        <v>54</v>
      </c>
      <c r="D370" s="22" t="n">
        <f aca="false">DATE(2026,1,1)-1601</f>
        <v>44422</v>
      </c>
      <c r="E370" s="23" t="s">
        <v>63</v>
      </c>
      <c r="F370" s="19" t="n">
        <v>3</v>
      </c>
      <c r="G370" s="24" t="n">
        <v>3.16</v>
      </c>
      <c r="H370" s="23" t="s">
        <v>9</v>
      </c>
      <c r="I370" s="25" t="n">
        <v>141533</v>
      </c>
    </row>
    <row r="371" customFormat="false" ht="19.5" hidden="false" customHeight="true" outlineLevel="0" collapsed="false">
      <c r="A371" s="26" t="s">
        <v>433</v>
      </c>
      <c r="B371" s="27" t="s">
        <v>22</v>
      </c>
      <c r="C371" s="27" t="s">
        <v>38</v>
      </c>
      <c r="D371" s="28" t="n">
        <f aca="false">DATE(2026,1,1)-1496</f>
        <v>44527</v>
      </c>
      <c r="E371" s="29" t="s">
        <v>57</v>
      </c>
      <c r="F371" s="15" t="n">
        <v>6.1</v>
      </c>
      <c r="G371" s="30" t="n">
        <v>4.05</v>
      </c>
      <c r="H371" s="29" t="s">
        <v>9</v>
      </c>
      <c r="I371" s="31" t="n">
        <v>86799</v>
      </c>
    </row>
    <row r="372" customFormat="false" ht="19.5" hidden="false" customHeight="true" outlineLevel="0" collapsed="false">
      <c r="A372" s="20" t="s">
        <v>434</v>
      </c>
      <c r="B372" s="21" t="s">
        <v>22</v>
      </c>
      <c r="C372" s="21" t="s">
        <v>38</v>
      </c>
      <c r="D372" s="22" t="n">
        <f aca="false">DATE(2026,1,1)-1301</f>
        <v>44722</v>
      </c>
      <c r="E372" s="23" t="s">
        <v>39</v>
      </c>
      <c r="F372" s="19" t="n">
        <v>3.9</v>
      </c>
      <c r="G372" s="24" t="n">
        <v>3.28</v>
      </c>
      <c r="H372" s="23" t="s">
        <v>9</v>
      </c>
      <c r="I372" s="25" t="n">
        <v>60876</v>
      </c>
    </row>
    <row r="373" customFormat="false" ht="19.5" hidden="false" customHeight="true" outlineLevel="0" collapsed="false">
      <c r="A373" s="26" t="s">
        <v>435</v>
      </c>
      <c r="B373" s="27" t="s">
        <v>16</v>
      </c>
      <c r="C373" s="27" t="s">
        <v>204</v>
      </c>
      <c r="D373" s="28" t="n">
        <f aca="false">DATE(2026,1,1)-1078</f>
        <v>44945</v>
      </c>
      <c r="E373" s="29" t="s">
        <v>52</v>
      </c>
      <c r="F373" s="15" t="n">
        <v>6.3</v>
      </c>
      <c r="G373" s="30" t="n">
        <v>4.03</v>
      </c>
      <c r="H373" s="29" t="s">
        <v>9</v>
      </c>
      <c r="I373" s="31" t="n">
        <v>144685</v>
      </c>
    </row>
    <row r="374" customFormat="false" ht="19.5" hidden="false" customHeight="true" outlineLevel="0" collapsed="false">
      <c r="A374" s="20" t="s">
        <v>436</v>
      </c>
      <c r="B374" s="21" t="s">
        <v>22</v>
      </c>
      <c r="C374" s="21" t="s">
        <v>38</v>
      </c>
      <c r="D374" s="22" t="n">
        <f aca="false">DATE(2026,1,1)-1603</f>
        <v>44420</v>
      </c>
      <c r="E374" s="23" t="s">
        <v>48</v>
      </c>
      <c r="F374" s="19" t="n">
        <v>2.6</v>
      </c>
      <c r="G374" s="24" t="n">
        <v>3.07</v>
      </c>
      <c r="H374" s="23" t="s">
        <v>9</v>
      </c>
      <c r="I374" s="25" t="n">
        <v>107611</v>
      </c>
    </row>
    <row r="375" customFormat="false" ht="19.5" hidden="false" customHeight="true" outlineLevel="0" collapsed="false">
      <c r="A375" s="26" t="s">
        <v>437</v>
      </c>
      <c r="B375" s="27" t="s">
        <v>18</v>
      </c>
      <c r="C375" s="27" t="s">
        <v>66</v>
      </c>
      <c r="D375" s="28" t="n">
        <f aca="false">DATE(2026,1,1)-62</f>
        <v>45961</v>
      </c>
      <c r="E375" s="29" t="s">
        <v>39</v>
      </c>
      <c r="F375" s="15" t="n">
        <v>7.9</v>
      </c>
      <c r="G375" s="30" t="n">
        <v>4.55</v>
      </c>
      <c r="H375" s="29" t="s">
        <v>9</v>
      </c>
      <c r="I375" s="31" t="n">
        <v>61514</v>
      </c>
    </row>
    <row r="376" customFormat="false" ht="19.5" hidden="false" customHeight="true" outlineLevel="0" collapsed="false">
      <c r="A376" s="20" t="s">
        <v>438</v>
      </c>
      <c r="B376" s="21" t="s">
        <v>18</v>
      </c>
      <c r="C376" s="21" t="s">
        <v>84</v>
      </c>
      <c r="D376" s="22" t="n">
        <f aca="false">DATE(2026,1,1)-2140</f>
        <v>43883</v>
      </c>
      <c r="E376" s="23" t="s">
        <v>57</v>
      </c>
      <c r="F376" s="19" t="n">
        <v>7.4</v>
      </c>
      <c r="G376" s="24" t="n">
        <v>3.22</v>
      </c>
      <c r="H376" s="23" t="s">
        <v>9</v>
      </c>
      <c r="I376" s="25" t="n">
        <v>114831</v>
      </c>
    </row>
    <row r="377" customFormat="false" ht="19.5" hidden="false" customHeight="true" outlineLevel="0" collapsed="false">
      <c r="A377" s="26" t="s">
        <v>439</v>
      </c>
      <c r="B377" s="27" t="s">
        <v>24</v>
      </c>
      <c r="C377" s="27" t="s">
        <v>47</v>
      </c>
      <c r="D377" s="28" t="n">
        <f aca="false">DATE(2026,1,1)-1322</f>
        <v>44701</v>
      </c>
      <c r="E377" s="29" t="s">
        <v>48</v>
      </c>
      <c r="F377" s="15" t="n">
        <v>4.8</v>
      </c>
      <c r="G377" s="30" t="n">
        <v>4.62</v>
      </c>
      <c r="H377" s="29" t="s">
        <v>9</v>
      </c>
      <c r="I377" s="31" t="n">
        <v>132799</v>
      </c>
    </row>
    <row r="378" customFormat="false" ht="19.5" hidden="false" customHeight="true" outlineLevel="0" collapsed="false">
      <c r="A378" s="20" t="s">
        <v>440</v>
      </c>
      <c r="B378" s="21" t="s">
        <v>20</v>
      </c>
      <c r="C378" s="21" t="s">
        <v>78</v>
      </c>
      <c r="D378" s="22" t="n">
        <f aca="false">DATE(2026,1,1)-888</f>
        <v>45135</v>
      </c>
      <c r="E378" s="23" t="s">
        <v>45</v>
      </c>
      <c r="F378" s="19" t="n">
        <v>5.7</v>
      </c>
      <c r="G378" s="24" t="n">
        <v>3.72</v>
      </c>
      <c r="H378" s="23" t="s">
        <v>9</v>
      </c>
      <c r="I378" s="25" t="n">
        <v>71822</v>
      </c>
    </row>
    <row r="379" customFormat="false" ht="19.5" hidden="false" customHeight="true" outlineLevel="0" collapsed="false">
      <c r="A379" s="26" t="s">
        <v>441</v>
      </c>
      <c r="B379" s="27" t="s">
        <v>24</v>
      </c>
      <c r="C379" s="27" t="s">
        <v>59</v>
      </c>
      <c r="D379" s="28" t="n">
        <f aca="false">DATE(2026,1,1)-1418</f>
        <v>44605</v>
      </c>
      <c r="E379" s="29" t="s">
        <v>48</v>
      </c>
      <c r="F379" s="15" t="n">
        <v>3.1</v>
      </c>
      <c r="G379" s="30" t="n">
        <v>4.63</v>
      </c>
      <c r="H379" s="29" t="s">
        <v>9</v>
      </c>
      <c r="I379" s="31" t="n">
        <v>54679</v>
      </c>
    </row>
    <row r="380" customFormat="false" ht="19.5" hidden="false" customHeight="true" outlineLevel="0" collapsed="false">
      <c r="A380" s="20" t="s">
        <v>442</v>
      </c>
      <c r="B380" s="21" t="s">
        <v>27</v>
      </c>
      <c r="C380" s="21" t="s">
        <v>72</v>
      </c>
      <c r="D380" s="22" t="n">
        <f aca="false">DATE(2026,1,1)-508</f>
        <v>45515</v>
      </c>
      <c r="E380" s="23" t="s">
        <v>63</v>
      </c>
      <c r="F380" s="19" t="n">
        <v>7.9</v>
      </c>
      <c r="G380" s="24" t="n">
        <v>4.62</v>
      </c>
      <c r="H380" s="23" t="s">
        <v>9</v>
      </c>
      <c r="I380" s="25" t="n">
        <v>123468</v>
      </c>
    </row>
    <row r="381" customFormat="false" ht="19.5" hidden="false" customHeight="true" outlineLevel="0" collapsed="false">
      <c r="A381" s="26" t="s">
        <v>443</v>
      </c>
      <c r="B381" s="27" t="s">
        <v>27</v>
      </c>
      <c r="C381" s="27" t="s">
        <v>54</v>
      </c>
      <c r="D381" s="28" t="n">
        <f aca="false">DATE(2026,1,1)-1168</f>
        <v>44855</v>
      </c>
      <c r="E381" s="29" t="s">
        <v>60</v>
      </c>
      <c r="F381" s="15" t="n">
        <v>7.6</v>
      </c>
      <c r="G381" s="30" t="n">
        <v>4.64</v>
      </c>
      <c r="H381" s="29" t="s">
        <v>9</v>
      </c>
      <c r="I381" s="31" t="n">
        <v>138686</v>
      </c>
    </row>
    <row r="382" customFormat="false" ht="19.5" hidden="false" customHeight="true" outlineLevel="0" collapsed="false">
      <c r="A382" s="20" t="s">
        <v>444</v>
      </c>
      <c r="B382" s="21" t="s">
        <v>16</v>
      </c>
      <c r="C382" s="21" t="s">
        <v>158</v>
      </c>
      <c r="D382" s="22" t="n">
        <f aca="false">DATE(2026,1,1)-421</f>
        <v>45602</v>
      </c>
      <c r="E382" s="23" t="s">
        <v>52</v>
      </c>
      <c r="F382" s="19" t="n">
        <v>5.7</v>
      </c>
      <c r="G382" s="24" t="n">
        <v>3.14</v>
      </c>
      <c r="H382" s="23" t="s">
        <v>9</v>
      </c>
      <c r="I382" s="25" t="n">
        <v>135346</v>
      </c>
    </row>
    <row r="383" customFormat="false" ht="19.5" hidden="false" customHeight="true" outlineLevel="0" collapsed="false">
      <c r="A383" s="26" t="s">
        <v>445</v>
      </c>
      <c r="B383" s="27" t="s">
        <v>26</v>
      </c>
      <c r="C383" s="27" t="s">
        <v>41</v>
      </c>
      <c r="D383" s="28" t="n">
        <f aca="false">DATE(2026,1,1)-2093</f>
        <v>43930</v>
      </c>
      <c r="E383" s="29" t="s">
        <v>39</v>
      </c>
      <c r="F383" s="15" t="n">
        <v>1.7</v>
      </c>
      <c r="G383" s="30" t="n">
        <v>3.66</v>
      </c>
      <c r="H383" s="29" t="s">
        <v>9</v>
      </c>
      <c r="I383" s="31" t="n">
        <v>71108</v>
      </c>
    </row>
    <row r="384" customFormat="false" ht="19.5" hidden="false" customHeight="true" outlineLevel="0" collapsed="false">
      <c r="A384" s="20" t="s">
        <v>446</v>
      </c>
      <c r="B384" s="21" t="s">
        <v>24</v>
      </c>
      <c r="C384" s="21" t="s">
        <v>90</v>
      </c>
      <c r="D384" s="22" t="n">
        <f aca="false">DATE(2026,1,1)-2190</f>
        <v>43833</v>
      </c>
      <c r="E384" s="23" t="s">
        <v>48</v>
      </c>
      <c r="F384" s="19" t="n">
        <v>2.3</v>
      </c>
      <c r="G384" s="24" t="n">
        <v>3.41</v>
      </c>
      <c r="H384" s="23" t="s">
        <v>9</v>
      </c>
      <c r="I384" s="25" t="n">
        <v>105485</v>
      </c>
    </row>
    <row r="385" customFormat="false" ht="19.5" hidden="false" customHeight="true" outlineLevel="0" collapsed="false">
      <c r="A385" s="26" t="s">
        <v>447</v>
      </c>
      <c r="B385" s="27" t="s">
        <v>22</v>
      </c>
      <c r="C385" s="27" t="s">
        <v>38</v>
      </c>
      <c r="D385" s="28" t="n">
        <f aca="false">DATE(2026,1,1)-269</f>
        <v>45754</v>
      </c>
      <c r="E385" s="29" t="s">
        <v>52</v>
      </c>
      <c r="F385" s="15" t="n">
        <v>3.2</v>
      </c>
      <c r="G385" s="30" t="n">
        <v>4.88</v>
      </c>
      <c r="H385" s="29" t="s">
        <v>9</v>
      </c>
      <c r="I385" s="31" t="n">
        <v>118387</v>
      </c>
    </row>
    <row r="386" customFormat="false" ht="19.5" hidden="false" customHeight="true" outlineLevel="0" collapsed="false">
      <c r="A386" s="20" t="s">
        <v>448</v>
      </c>
      <c r="B386" s="21" t="s">
        <v>18</v>
      </c>
      <c r="C386" s="21" t="s">
        <v>44</v>
      </c>
      <c r="D386" s="22" t="n">
        <f aca="false">DATE(2026,1,1)-1042</f>
        <v>44981</v>
      </c>
      <c r="E386" s="23" t="s">
        <v>39</v>
      </c>
      <c r="F386" s="19" t="n">
        <v>3</v>
      </c>
      <c r="G386" s="24" t="n">
        <v>4.2</v>
      </c>
      <c r="H386" s="23" t="s">
        <v>42</v>
      </c>
      <c r="I386" s="25" t="n">
        <v>111827</v>
      </c>
    </row>
    <row r="387" customFormat="false" ht="19.5" hidden="false" customHeight="true" outlineLevel="0" collapsed="false">
      <c r="A387" s="26" t="s">
        <v>449</v>
      </c>
      <c r="B387" s="27" t="s">
        <v>20</v>
      </c>
      <c r="C387" s="27" t="s">
        <v>47</v>
      </c>
      <c r="D387" s="28" t="n">
        <f aca="false">DATE(2026,1,1)-764</f>
        <v>45259</v>
      </c>
      <c r="E387" s="29" t="s">
        <v>57</v>
      </c>
      <c r="F387" s="15" t="n">
        <v>1.7</v>
      </c>
      <c r="G387" s="30" t="n">
        <v>3.03</v>
      </c>
      <c r="H387" s="29" t="s">
        <v>9</v>
      </c>
      <c r="I387" s="31" t="n">
        <v>89820</v>
      </c>
    </row>
    <row r="388" customFormat="false" ht="19.5" hidden="false" customHeight="true" outlineLevel="0" collapsed="false">
      <c r="A388" s="20" t="s">
        <v>450</v>
      </c>
      <c r="B388" s="21" t="s">
        <v>24</v>
      </c>
      <c r="C388" s="21" t="s">
        <v>47</v>
      </c>
      <c r="D388" s="22" t="n">
        <f aca="false">DATE(2026,1,1)-678</f>
        <v>45345</v>
      </c>
      <c r="E388" s="23" t="s">
        <v>60</v>
      </c>
      <c r="F388" s="19" t="n">
        <v>6.9</v>
      </c>
      <c r="G388" s="24" t="n">
        <v>3.06</v>
      </c>
      <c r="H388" s="23" t="s">
        <v>42</v>
      </c>
      <c r="I388" s="25" t="n">
        <v>112105</v>
      </c>
    </row>
    <row r="389" customFormat="false" ht="19.5" hidden="false" customHeight="true" outlineLevel="0" collapsed="false">
      <c r="A389" s="26" t="s">
        <v>451</v>
      </c>
      <c r="B389" s="27" t="s">
        <v>18</v>
      </c>
      <c r="C389" s="27" t="s">
        <v>84</v>
      </c>
      <c r="D389" s="28" t="n">
        <f aca="false">DATE(2026,1,1)-1265</f>
        <v>44758</v>
      </c>
      <c r="E389" s="29" t="s">
        <v>60</v>
      </c>
      <c r="F389" s="15" t="n">
        <v>5.3</v>
      </c>
      <c r="G389" s="30" t="n">
        <v>3.09</v>
      </c>
      <c r="H389" s="29" t="s">
        <v>9</v>
      </c>
      <c r="I389" s="31" t="n">
        <v>133394</v>
      </c>
    </row>
    <row r="390" customFormat="false" ht="19.5" hidden="false" customHeight="true" outlineLevel="0" collapsed="false">
      <c r="A390" s="20" t="s">
        <v>452</v>
      </c>
      <c r="B390" s="21" t="s">
        <v>24</v>
      </c>
      <c r="C390" s="21" t="s">
        <v>47</v>
      </c>
      <c r="D390" s="22" t="n">
        <f aca="false">DATE(2026,1,1)-2067</f>
        <v>43956</v>
      </c>
      <c r="E390" s="23" t="s">
        <v>57</v>
      </c>
      <c r="F390" s="19" t="n">
        <v>3.4</v>
      </c>
      <c r="G390" s="24" t="n">
        <v>4.51</v>
      </c>
      <c r="H390" s="23" t="s">
        <v>9</v>
      </c>
      <c r="I390" s="25" t="n">
        <v>111807</v>
      </c>
    </row>
    <row r="391" customFormat="false" ht="19.5" hidden="false" customHeight="true" outlineLevel="0" collapsed="false">
      <c r="A391" s="26" t="s">
        <v>453</v>
      </c>
      <c r="B391" s="27" t="s">
        <v>26</v>
      </c>
      <c r="C391" s="27" t="s">
        <v>110</v>
      </c>
      <c r="D391" s="28" t="n">
        <f aca="false">DATE(2026,1,1)-1894</f>
        <v>44129</v>
      </c>
      <c r="E391" s="29" t="s">
        <v>63</v>
      </c>
      <c r="F391" s="15" t="n">
        <v>7.7</v>
      </c>
      <c r="G391" s="30" t="n">
        <v>3.43</v>
      </c>
      <c r="H391" s="29" t="s">
        <v>9</v>
      </c>
      <c r="I391" s="31" t="n">
        <v>46145</v>
      </c>
    </row>
    <row r="392" customFormat="false" ht="19.5" hidden="false" customHeight="true" outlineLevel="0" collapsed="false">
      <c r="A392" s="20" t="s">
        <v>454</v>
      </c>
      <c r="B392" s="21" t="s">
        <v>24</v>
      </c>
      <c r="C392" s="21" t="s">
        <v>47</v>
      </c>
      <c r="D392" s="22" t="n">
        <f aca="false">DATE(2026,1,1)-497</f>
        <v>45526</v>
      </c>
      <c r="E392" s="23" t="s">
        <v>60</v>
      </c>
      <c r="F392" s="19" t="n">
        <v>5.9</v>
      </c>
      <c r="G392" s="24" t="n">
        <v>3.42</v>
      </c>
      <c r="H392" s="23" t="s">
        <v>9</v>
      </c>
      <c r="I392" s="25" t="n">
        <v>89843</v>
      </c>
    </row>
    <row r="393" customFormat="false" ht="19.5" hidden="false" customHeight="true" outlineLevel="0" collapsed="false">
      <c r="A393" s="26" t="s">
        <v>455</v>
      </c>
      <c r="B393" s="27" t="s">
        <v>16</v>
      </c>
      <c r="C393" s="27" t="s">
        <v>100</v>
      </c>
      <c r="D393" s="28" t="n">
        <f aca="false">DATE(2026,1,1)-131</f>
        <v>45892</v>
      </c>
      <c r="E393" s="29" t="s">
        <v>48</v>
      </c>
      <c r="F393" s="15" t="n">
        <v>6.7</v>
      </c>
      <c r="G393" s="30" t="n">
        <v>4.42</v>
      </c>
      <c r="H393" s="29" t="s">
        <v>42</v>
      </c>
      <c r="I393" s="31" t="n">
        <v>49463</v>
      </c>
    </row>
    <row r="394" customFormat="false" ht="19.5" hidden="false" customHeight="true" outlineLevel="0" collapsed="false">
      <c r="A394" s="20" t="s">
        <v>456</v>
      </c>
      <c r="B394" s="21" t="s">
        <v>18</v>
      </c>
      <c r="C394" s="21" t="s">
        <v>84</v>
      </c>
      <c r="D394" s="22" t="n">
        <f aca="false">DATE(2026,1,1)-1251</f>
        <v>44772</v>
      </c>
      <c r="E394" s="23" t="s">
        <v>63</v>
      </c>
      <c r="F394" s="19" t="n">
        <v>3</v>
      </c>
      <c r="G394" s="24" t="n">
        <v>2.98</v>
      </c>
      <c r="H394" s="23" t="s">
        <v>9</v>
      </c>
      <c r="I394" s="25" t="n">
        <v>61334</v>
      </c>
    </row>
    <row r="395" customFormat="false" ht="19.5" hidden="false" customHeight="true" outlineLevel="0" collapsed="false">
      <c r="A395" s="26" t="s">
        <v>457</v>
      </c>
      <c r="B395" s="27" t="s">
        <v>20</v>
      </c>
      <c r="C395" s="27" t="s">
        <v>47</v>
      </c>
      <c r="D395" s="28" t="n">
        <f aca="false">DATE(2026,1,1)-363</f>
        <v>45660</v>
      </c>
      <c r="E395" s="29" t="s">
        <v>39</v>
      </c>
      <c r="F395" s="15" t="n">
        <v>5.9</v>
      </c>
      <c r="G395" s="30" t="n">
        <v>4.79</v>
      </c>
      <c r="H395" s="29" t="s">
        <v>9</v>
      </c>
      <c r="I395" s="31" t="n">
        <v>89870</v>
      </c>
    </row>
    <row r="396" customFormat="false" ht="19.5" hidden="false" customHeight="true" outlineLevel="0" collapsed="false">
      <c r="A396" s="20" t="s">
        <v>458</v>
      </c>
      <c r="B396" s="21" t="s">
        <v>27</v>
      </c>
      <c r="C396" s="21" t="s">
        <v>96</v>
      </c>
      <c r="D396" s="22" t="n">
        <f aca="false">DATE(2026,1,1)-751</f>
        <v>45272</v>
      </c>
      <c r="E396" s="23" t="s">
        <v>63</v>
      </c>
      <c r="F396" s="19" t="n">
        <v>5</v>
      </c>
      <c r="G396" s="24" t="n">
        <v>4.04</v>
      </c>
      <c r="H396" s="23" t="s">
        <v>9</v>
      </c>
      <c r="I396" s="25" t="n">
        <v>79108</v>
      </c>
    </row>
    <row r="397" customFormat="false" ht="19.5" hidden="false" customHeight="true" outlineLevel="0" collapsed="false">
      <c r="A397" s="26" t="s">
        <v>459</v>
      </c>
      <c r="B397" s="27" t="s">
        <v>16</v>
      </c>
      <c r="C397" s="27" t="s">
        <v>100</v>
      </c>
      <c r="D397" s="28" t="n">
        <f aca="false">DATE(2026,1,1)-917</f>
        <v>45106</v>
      </c>
      <c r="E397" s="29" t="s">
        <v>39</v>
      </c>
      <c r="F397" s="15" t="n">
        <v>3.2</v>
      </c>
      <c r="G397" s="30" t="n">
        <v>4.82</v>
      </c>
      <c r="H397" s="29" t="s">
        <v>9</v>
      </c>
      <c r="I397" s="31" t="n">
        <v>121095</v>
      </c>
    </row>
    <row r="398" customFormat="false" ht="19.5" hidden="false" customHeight="true" outlineLevel="0" collapsed="false">
      <c r="A398" s="20" t="s">
        <v>460</v>
      </c>
      <c r="B398" s="21" t="s">
        <v>26</v>
      </c>
      <c r="C398" s="21" t="s">
        <v>41</v>
      </c>
      <c r="D398" s="22" t="n">
        <f aca="false">DATE(2026,1,1)-1633</f>
        <v>44390</v>
      </c>
      <c r="E398" s="23" t="s">
        <v>39</v>
      </c>
      <c r="F398" s="19" t="n">
        <v>2.7</v>
      </c>
      <c r="G398" s="24" t="n">
        <v>3.5</v>
      </c>
      <c r="H398" s="23" t="s">
        <v>9</v>
      </c>
      <c r="I398" s="25" t="n">
        <v>129931</v>
      </c>
    </row>
    <row r="399" customFormat="false" ht="19.5" hidden="false" customHeight="true" outlineLevel="0" collapsed="false">
      <c r="A399" s="26" t="s">
        <v>461</v>
      </c>
      <c r="B399" s="27" t="s">
        <v>26</v>
      </c>
      <c r="C399" s="27" t="s">
        <v>110</v>
      </c>
      <c r="D399" s="28" t="n">
        <f aca="false">DATE(2026,1,1)-319</f>
        <v>45704</v>
      </c>
      <c r="E399" s="29" t="s">
        <v>45</v>
      </c>
      <c r="F399" s="15" t="n">
        <v>5.3</v>
      </c>
      <c r="G399" s="30" t="n">
        <v>3.57</v>
      </c>
      <c r="H399" s="29" t="s">
        <v>42</v>
      </c>
      <c r="I399" s="31" t="n">
        <v>56478</v>
      </c>
    </row>
    <row r="400" customFormat="false" ht="19.5" hidden="false" customHeight="true" outlineLevel="0" collapsed="false">
      <c r="A400" s="20" t="s">
        <v>462</v>
      </c>
      <c r="B400" s="21" t="s">
        <v>16</v>
      </c>
      <c r="C400" s="21" t="s">
        <v>204</v>
      </c>
      <c r="D400" s="22" t="n">
        <f aca="false">DATE(2026,1,1)-1772</f>
        <v>44251</v>
      </c>
      <c r="E400" s="23" t="s">
        <v>63</v>
      </c>
      <c r="F400" s="19" t="n">
        <v>4.3</v>
      </c>
      <c r="G400" s="24" t="n">
        <v>4.04</v>
      </c>
      <c r="H400" s="23" t="s">
        <v>9</v>
      </c>
      <c r="I400" s="25" t="n">
        <v>67591</v>
      </c>
    </row>
    <row r="401" customFormat="false" ht="19.5" hidden="false" customHeight="true" outlineLevel="0" collapsed="false">
      <c r="A401" s="26" t="s">
        <v>463</v>
      </c>
      <c r="B401" s="27" t="s">
        <v>16</v>
      </c>
      <c r="C401" s="27" t="s">
        <v>158</v>
      </c>
      <c r="D401" s="28" t="n">
        <f aca="false">DATE(2026,1,1)-189</f>
        <v>45834</v>
      </c>
      <c r="E401" s="29" t="s">
        <v>63</v>
      </c>
      <c r="F401" s="15" t="n">
        <v>6</v>
      </c>
      <c r="G401" s="30" t="n">
        <v>4.54</v>
      </c>
      <c r="H401" s="29" t="s">
        <v>9</v>
      </c>
      <c r="I401" s="31" t="n">
        <v>46438</v>
      </c>
    </row>
    <row r="402" customFormat="false" ht="19.5" hidden="false" customHeight="true" outlineLevel="0" collapsed="false">
      <c r="A402" s="20" t="s">
        <v>464</v>
      </c>
      <c r="B402" s="21" t="s">
        <v>20</v>
      </c>
      <c r="C402" s="21" t="s">
        <v>78</v>
      </c>
      <c r="D402" s="22" t="n">
        <f aca="false">DATE(2026,1,1)-1421</f>
        <v>44602</v>
      </c>
      <c r="E402" s="23" t="s">
        <v>48</v>
      </c>
      <c r="F402" s="19" t="n">
        <v>6.5</v>
      </c>
      <c r="G402" s="24" t="n">
        <v>4.77</v>
      </c>
      <c r="H402" s="23" t="s">
        <v>9</v>
      </c>
      <c r="I402" s="25" t="n">
        <v>114091</v>
      </c>
    </row>
    <row r="403" customFormat="false" ht="19.5" hidden="false" customHeight="true" outlineLevel="0" collapsed="false">
      <c r="A403" s="26" t="s">
        <v>465</v>
      </c>
      <c r="B403" s="27" t="s">
        <v>20</v>
      </c>
      <c r="C403" s="27" t="s">
        <v>38</v>
      </c>
      <c r="D403" s="28" t="n">
        <f aca="false">DATE(2026,1,1)-1765</f>
        <v>44258</v>
      </c>
      <c r="E403" s="29" t="s">
        <v>52</v>
      </c>
      <c r="F403" s="15" t="n">
        <v>5.3</v>
      </c>
      <c r="G403" s="30" t="n">
        <v>3.73</v>
      </c>
      <c r="H403" s="29" t="s">
        <v>9</v>
      </c>
      <c r="I403" s="31" t="n">
        <v>124321</v>
      </c>
    </row>
    <row r="404" customFormat="false" ht="19.5" hidden="false" customHeight="true" outlineLevel="0" collapsed="false">
      <c r="A404" s="20" t="s">
        <v>466</v>
      </c>
      <c r="B404" s="21" t="s">
        <v>16</v>
      </c>
      <c r="C404" s="21" t="s">
        <v>204</v>
      </c>
      <c r="D404" s="22" t="n">
        <f aca="false">DATE(2026,1,1)-1856</f>
        <v>44167</v>
      </c>
      <c r="E404" s="23" t="s">
        <v>48</v>
      </c>
      <c r="F404" s="19" t="n">
        <v>1.6</v>
      </c>
      <c r="G404" s="24" t="n">
        <v>4.29</v>
      </c>
      <c r="H404" s="23" t="s">
        <v>42</v>
      </c>
      <c r="I404" s="25" t="n">
        <v>93803</v>
      </c>
    </row>
    <row r="405" customFormat="false" ht="19.5" hidden="false" customHeight="true" outlineLevel="0" collapsed="false">
      <c r="A405" s="26" t="s">
        <v>467</v>
      </c>
      <c r="B405" s="27" t="s">
        <v>26</v>
      </c>
      <c r="C405" s="27" t="s">
        <v>110</v>
      </c>
      <c r="D405" s="28" t="n">
        <f aca="false">DATE(2026,1,1)-348</f>
        <v>45675</v>
      </c>
      <c r="E405" s="29" t="s">
        <v>52</v>
      </c>
      <c r="F405" s="15" t="n">
        <v>5.8</v>
      </c>
      <c r="G405" s="30" t="n">
        <v>3.27</v>
      </c>
      <c r="H405" s="29" t="s">
        <v>42</v>
      </c>
      <c r="I405" s="31" t="n">
        <v>110762</v>
      </c>
    </row>
    <row r="406" customFormat="false" ht="19.5" hidden="false" customHeight="true" outlineLevel="0" collapsed="false">
      <c r="A406" s="20" t="s">
        <v>468</v>
      </c>
      <c r="B406" s="21" t="s">
        <v>27</v>
      </c>
      <c r="C406" s="21" t="s">
        <v>54</v>
      </c>
      <c r="D406" s="22" t="n">
        <f aca="false">DATE(2026,1,1)-1861</f>
        <v>44162</v>
      </c>
      <c r="E406" s="23" t="s">
        <v>60</v>
      </c>
      <c r="F406" s="19" t="n">
        <v>3.8</v>
      </c>
      <c r="G406" s="24" t="n">
        <v>3.25</v>
      </c>
      <c r="H406" s="23" t="s">
        <v>42</v>
      </c>
      <c r="I406" s="25" t="n">
        <v>98824</v>
      </c>
    </row>
    <row r="407" customFormat="false" ht="19.5" hidden="false" customHeight="true" outlineLevel="0" collapsed="false">
      <c r="A407" s="26" t="s">
        <v>469</v>
      </c>
      <c r="B407" s="27" t="s">
        <v>26</v>
      </c>
      <c r="C407" s="27" t="s">
        <v>41</v>
      </c>
      <c r="D407" s="28" t="n">
        <f aca="false">DATE(2026,1,1)-1473</f>
        <v>44550</v>
      </c>
      <c r="E407" s="29" t="s">
        <v>48</v>
      </c>
      <c r="F407" s="15" t="n">
        <v>6.7</v>
      </c>
      <c r="G407" s="30" t="n">
        <v>4.81</v>
      </c>
      <c r="H407" s="29" t="s">
        <v>9</v>
      </c>
      <c r="I407" s="31" t="n">
        <v>127327</v>
      </c>
    </row>
    <row r="408" customFormat="false" ht="19.5" hidden="false" customHeight="true" outlineLevel="0" collapsed="false">
      <c r="A408" s="20" t="s">
        <v>470</v>
      </c>
      <c r="B408" s="21" t="s">
        <v>22</v>
      </c>
      <c r="C408" s="21" t="s">
        <v>50</v>
      </c>
      <c r="D408" s="22" t="n">
        <f aca="false">DATE(2026,1,1)-2200</f>
        <v>43823</v>
      </c>
      <c r="E408" s="23" t="s">
        <v>48</v>
      </c>
      <c r="F408" s="19" t="n">
        <v>6.5</v>
      </c>
      <c r="G408" s="24" t="n">
        <v>3</v>
      </c>
      <c r="H408" s="23" t="s">
        <v>9</v>
      </c>
      <c r="I408" s="25" t="n">
        <v>101694</v>
      </c>
    </row>
    <row r="409" customFormat="false" ht="19.5" hidden="false" customHeight="true" outlineLevel="0" collapsed="false">
      <c r="A409" s="26" t="s">
        <v>471</v>
      </c>
      <c r="B409" s="27" t="s">
        <v>20</v>
      </c>
      <c r="C409" s="27" t="s">
        <v>47</v>
      </c>
      <c r="D409" s="28" t="n">
        <f aca="false">DATE(2026,1,1)-1126</f>
        <v>44897</v>
      </c>
      <c r="E409" s="29" t="s">
        <v>45</v>
      </c>
      <c r="F409" s="15" t="n">
        <v>2.1</v>
      </c>
      <c r="G409" s="30" t="n">
        <v>4.18</v>
      </c>
      <c r="H409" s="29" t="s">
        <v>9</v>
      </c>
      <c r="I409" s="31" t="n">
        <v>75224</v>
      </c>
    </row>
    <row r="410" customFormat="false" ht="19.5" hidden="false" customHeight="true" outlineLevel="0" collapsed="false">
      <c r="A410" s="20" t="s">
        <v>472</v>
      </c>
      <c r="B410" s="21" t="s">
        <v>27</v>
      </c>
      <c r="C410" s="21" t="s">
        <v>72</v>
      </c>
      <c r="D410" s="22" t="n">
        <f aca="false">DATE(2026,1,1)-1738</f>
        <v>44285</v>
      </c>
      <c r="E410" s="23" t="s">
        <v>63</v>
      </c>
      <c r="F410" s="19" t="n">
        <v>0.7</v>
      </c>
      <c r="G410" s="24" t="n">
        <v>3.66</v>
      </c>
      <c r="H410" s="23" t="s">
        <v>9</v>
      </c>
      <c r="I410" s="25" t="n">
        <v>60985</v>
      </c>
    </row>
    <row r="411" customFormat="false" ht="19.5" hidden="false" customHeight="true" outlineLevel="0" collapsed="false">
      <c r="A411" s="26" t="s">
        <v>473</v>
      </c>
      <c r="B411" s="27" t="s">
        <v>18</v>
      </c>
      <c r="C411" s="27" t="s">
        <v>84</v>
      </c>
      <c r="D411" s="28" t="n">
        <f aca="false">DATE(2026,1,1)-984</f>
        <v>45039</v>
      </c>
      <c r="E411" s="29" t="s">
        <v>48</v>
      </c>
      <c r="F411" s="15" t="n">
        <v>3.4</v>
      </c>
      <c r="G411" s="30" t="n">
        <v>4.38</v>
      </c>
      <c r="H411" s="29" t="s">
        <v>9</v>
      </c>
      <c r="I411" s="31" t="n">
        <v>104673</v>
      </c>
    </row>
    <row r="412" customFormat="false" ht="19.5" hidden="false" customHeight="true" outlineLevel="0" collapsed="false">
      <c r="A412" s="20" t="s">
        <v>474</v>
      </c>
      <c r="B412" s="21" t="s">
        <v>27</v>
      </c>
      <c r="C412" s="21" t="s">
        <v>54</v>
      </c>
      <c r="D412" s="22" t="n">
        <f aca="false">DATE(2026,1,1)-1112</f>
        <v>44911</v>
      </c>
      <c r="E412" s="23" t="s">
        <v>48</v>
      </c>
      <c r="F412" s="19" t="n">
        <v>0.7</v>
      </c>
      <c r="G412" s="24" t="n">
        <v>4.74</v>
      </c>
      <c r="H412" s="23" t="s">
        <v>9</v>
      </c>
      <c r="I412" s="25" t="n">
        <v>103530</v>
      </c>
    </row>
    <row r="413" customFormat="false" ht="19.5" hidden="false" customHeight="true" outlineLevel="0" collapsed="false">
      <c r="A413" s="26" t="s">
        <v>475</v>
      </c>
      <c r="B413" s="27" t="s">
        <v>26</v>
      </c>
      <c r="C413" s="27" t="s">
        <v>41</v>
      </c>
      <c r="D413" s="28" t="n">
        <f aca="false">DATE(2026,1,1)-182</f>
        <v>45841</v>
      </c>
      <c r="E413" s="29" t="s">
        <v>63</v>
      </c>
      <c r="F413" s="15" t="n">
        <v>1.5</v>
      </c>
      <c r="G413" s="30" t="n">
        <v>4.86</v>
      </c>
      <c r="H413" s="29" t="s">
        <v>42</v>
      </c>
      <c r="I413" s="31" t="n">
        <v>51636</v>
      </c>
    </row>
  </sheetData>
  <autoFilter ref="A1:I413"/>
  <conditionalFormatting sqref="H2:H413">
    <cfRule type="cellIs" priority="2" operator="equal" aboveAverage="0" equalAverage="0" bottom="0" percent="0" rank="0" text="" dxfId="103">
      <formula>"Active"</formula>
    </cfRule>
    <cfRule type="cellIs" priority="3" operator="equal" aboveAverage="0" equalAverage="0" bottom="0" percent="0" rank="0" text="" dxfId="104">
      <formula>"Left"</formula>
    </cfRule>
  </conditionalFormatting>
  <conditionalFormatting sqref="G2:G413">
    <cfRule type="colorScale" priority="4">
      <colorScale>
        <cfvo type="min" val="0"/>
        <cfvo type="percentile" val="50"/>
        <cfvo type="max" val="0"/>
        <color rgb="FFFEE2E2"/>
        <color rgb="FFFEF3C7"/>
        <color rgb="FFD1FAE5"/>
      </colorScale>
    </cfRule>
  </conditionalFormatting>
  <conditionalFormatting sqref="I2:I413">
    <cfRule type="dataBar" priority="5">
      <dataBar showValue="1" minLength="10" maxLength="90">
        <cfvo type="min" val="0"/>
        <cfvo type="max" val="0"/>
        <color rgb="FFF97316"/>
      </dataBar>
      <extLst>
        <ext xmlns:x14="http://schemas.microsoft.com/office/spreadsheetml/2009/9/main" uri="{B025F937-C7B1-47D3-B67F-A62EFF666E3E}">
          <x14:id>{7D9CEC28-39DC-4870-856E-7554C0E4604F}</x14:id>
        </ext>
      </extLst>
    </cfRule>
  </conditionalFormatting>
  <printOptions headings="false" gridLines="false" gridLinesSet="true" horizontalCentered="tru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D9CEC28-39DC-4870-856E-7554C0E4604F}">
            <x14:dataBar minLength="10" maxLength="90" axisPosition="none" gradient="true">
              <x14:cfvo type="min"/>
              <x14:cfvo type="max"/>
              <x14:negativeFillColor rgb="FFF97316"/>
              <x14:axisColor rgb="FF000000"/>
            </x14:dataBar>
          </x14:cfRule>
          <xm:sqref>I2:I413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2026-05-10T11:00:22Z</dcterms:created>
  <dc:creator>openpyxl</dc:creator>
  <dc:description/>
  <dc:language>en-US</dc:language>
  <cp:lastModifiedBy/>
  <dcterms:modified xsi:type="dcterms:W3CDTF">2026-05-17T17:12:23Z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